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4. 30 มิ.ย. 66\"/>
    </mc:Choice>
  </mc:AlternateContent>
  <xr:revisionPtr revIDLastSave="0" documentId="13_ncr:1_{645912EE-E1F4-497E-8EC8-26CA805CC15C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I824" i="5" l="1"/>
  <c r="I823" i="5"/>
  <c r="I823" i="20"/>
  <c r="I824" i="20"/>
  <c r="J828" i="22"/>
  <c r="I828" i="22"/>
  <c r="J827" i="22"/>
  <c r="I827" i="22"/>
  <c r="J826" i="22"/>
  <c r="I826" i="22"/>
  <c r="J825" i="22"/>
  <c r="I825" i="22"/>
  <c r="J824" i="22"/>
  <c r="I824" i="22"/>
  <c r="J823" i="22"/>
  <c r="I823" i="22"/>
  <c r="J822" i="22"/>
  <c r="I822" i="22"/>
  <c r="K822" i="22" s="1"/>
  <c r="J821" i="22"/>
  <c r="I821" i="22"/>
  <c r="K821" i="22" s="1"/>
  <c r="H820" i="22"/>
  <c r="P817" i="22"/>
  <c r="O817" i="22"/>
  <c r="P816" i="22"/>
  <c r="O816" i="22"/>
  <c r="O815" i="22"/>
  <c r="N815" i="22"/>
  <c r="M815" i="22"/>
  <c r="P815" i="22" s="1"/>
  <c r="L815" i="22"/>
  <c r="P810" i="22"/>
  <c r="O810" i="22"/>
  <c r="N810" i="22"/>
  <c r="N807" i="22" s="1"/>
  <c r="N805" i="22" s="1"/>
  <c r="P809" i="22"/>
  <c r="O809" i="22"/>
  <c r="M808" i="22"/>
  <c r="P808" i="22" s="1"/>
  <c r="L808" i="22"/>
  <c r="O808" i="22" s="1"/>
  <c r="P807" i="22"/>
  <c r="M807" i="22"/>
  <c r="L807" i="22"/>
  <c r="O807" i="22" s="1"/>
  <c r="P806" i="22"/>
  <c r="O806" i="22"/>
  <c r="N806" i="22"/>
  <c r="M806" i="22"/>
  <c r="M805" i="22" s="1"/>
  <c r="P805" i="22" s="1"/>
  <c r="L806" i="22"/>
  <c r="K804" i="22"/>
  <c r="J804" i="22"/>
  <c r="K802" i="22"/>
  <c r="J801" i="22"/>
  <c r="J800" i="22"/>
  <c r="J785" i="22" s="1"/>
  <c r="I800" i="22"/>
  <c r="I785" i="22" s="1"/>
  <c r="K785" i="22" s="1"/>
  <c r="P798" i="22"/>
  <c r="O798" i="22"/>
  <c r="P797" i="22"/>
  <c r="O797" i="22"/>
  <c r="N796" i="22"/>
  <c r="M796" i="22"/>
  <c r="P796" i="22" s="1"/>
  <c r="L796" i="22"/>
  <c r="O796" i="22" s="1"/>
  <c r="P791" i="22"/>
  <c r="N791" i="22"/>
  <c r="L791" i="22"/>
  <c r="L789" i="22" s="1"/>
  <c r="O789" i="22" s="1"/>
  <c r="P790" i="22"/>
  <c r="O790" i="22"/>
  <c r="N789" i="22"/>
  <c r="M789" i="22"/>
  <c r="P789" i="22" s="1"/>
  <c r="P788" i="22"/>
  <c r="N788" i="22"/>
  <c r="M788" i="22"/>
  <c r="P787" i="22"/>
  <c r="O787" i="22"/>
  <c r="N787" i="22"/>
  <c r="M787" i="22"/>
  <c r="M786" i="22" s="1"/>
  <c r="P786" i="22" s="1"/>
  <c r="L787" i="22"/>
  <c r="N786" i="22"/>
  <c r="P782" i="22"/>
  <c r="O782" i="22"/>
  <c r="P781" i="22"/>
  <c r="O781" i="22"/>
  <c r="P780" i="22"/>
  <c r="O780" i="22"/>
  <c r="N780" i="22"/>
  <c r="M780" i="22"/>
  <c r="L780" i="22"/>
  <c r="P775" i="22"/>
  <c r="O775" i="22"/>
  <c r="N775" i="22"/>
  <c r="N772" i="22" s="1"/>
  <c r="P774" i="22"/>
  <c r="O774" i="22"/>
  <c r="N773" i="22"/>
  <c r="M773" i="22"/>
  <c r="P773" i="22" s="1"/>
  <c r="L773" i="22"/>
  <c r="O773" i="22" s="1"/>
  <c r="M772" i="22"/>
  <c r="P772" i="22" s="1"/>
  <c r="L772" i="22"/>
  <c r="O772" i="22" s="1"/>
  <c r="P771" i="22"/>
  <c r="N771" i="22"/>
  <c r="N770" i="22" s="1"/>
  <c r="M771" i="22"/>
  <c r="L771" i="22"/>
  <c r="O771" i="22" s="1"/>
  <c r="K769" i="22"/>
  <c r="J769" i="22"/>
  <c r="P766" i="22"/>
  <c r="O766" i="22"/>
  <c r="P765" i="22"/>
  <c r="O765" i="22"/>
  <c r="P764" i="22"/>
  <c r="O764" i="22"/>
  <c r="N764" i="22"/>
  <c r="M764" i="22"/>
  <c r="L764" i="22"/>
  <c r="P759" i="22"/>
  <c r="O759" i="22"/>
  <c r="N759" i="22"/>
  <c r="N756" i="22" s="1"/>
  <c r="P758" i="22"/>
  <c r="O758" i="22"/>
  <c r="N757" i="22"/>
  <c r="M757" i="22"/>
  <c r="P757" i="22" s="1"/>
  <c r="L757" i="22"/>
  <c r="O757" i="22" s="1"/>
  <c r="M756" i="22"/>
  <c r="P756" i="22" s="1"/>
  <c r="L756" i="22"/>
  <c r="O756" i="22" s="1"/>
  <c r="P755" i="22"/>
  <c r="N755" i="22"/>
  <c r="M755" i="22"/>
  <c r="L755" i="22"/>
  <c r="O755" i="22" s="1"/>
  <c r="K753" i="22"/>
  <c r="J753" i="22"/>
  <c r="P749" i="22"/>
  <c r="O749" i="22"/>
  <c r="P748" i="22"/>
  <c r="O748" i="22"/>
  <c r="P747" i="22"/>
  <c r="O747" i="22"/>
  <c r="N747" i="22"/>
  <c r="M747" i="22"/>
  <c r="L747" i="22"/>
  <c r="P742" i="22"/>
  <c r="O742" i="22"/>
  <c r="N742" i="22"/>
  <c r="N739" i="22" s="1"/>
  <c r="P741" i="22"/>
  <c r="O741" i="22"/>
  <c r="N740" i="22"/>
  <c r="M740" i="22"/>
  <c r="P740" i="22" s="1"/>
  <c r="L740" i="22"/>
  <c r="O740" i="22" s="1"/>
  <c r="M739" i="22"/>
  <c r="P739" i="22" s="1"/>
  <c r="L739" i="22"/>
  <c r="O739" i="22" s="1"/>
  <c r="P738" i="22"/>
  <c r="N738" i="22"/>
  <c r="M738" i="22"/>
  <c r="L738" i="22"/>
  <c r="O738" i="22" s="1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J723" i="22"/>
  <c r="I723" i="22"/>
  <c r="I722" i="22"/>
  <c r="I721" i="22"/>
  <c r="J720" i="22"/>
  <c r="I720" i="22"/>
  <c r="K720" i="22" s="1"/>
  <c r="J719" i="22"/>
  <c r="J718" i="22"/>
  <c r="J708" i="22"/>
  <c r="I708" i="22"/>
  <c r="K708" i="22" s="1"/>
  <c r="I707" i="22"/>
  <c r="I704" i="22"/>
  <c r="J701" i="22"/>
  <c r="I701" i="22"/>
  <c r="K701" i="22" s="1"/>
  <c r="J700" i="22"/>
  <c r="I700" i="22"/>
  <c r="J699" i="22"/>
  <c r="I699" i="22"/>
  <c r="P697" i="22"/>
  <c r="O697" i="22"/>
  <c r="P696" i="22"/>
  <c r="O696" i="22"/>
  <c r="P695" i="22"/>
  <c r="O695" i="22"/>
  <c r="N695" i="22"/>
  <c r="M695" i="22"/>
  <c r="L695" i="22"/>
  <c r="N690" i="22"/>
  <c r="N687" i="22" s="1"/>
  <c r="N685" i="22" s="1"/>
  <c r="L690" i="22"/>
  <c r="M690" i="22" s="1"/>
  <c r="N688" i="22"/>
  <c r="P686" i="22"/>
  <c r="N686" i="22"/>
  <c r="M686" i="22"/>
  <c r="L686" i="22"/>
  <c r="O686" i="22" s="1"/>
  <c r="J679" i="22"/>
  <c r="J678" i="22" s="1"/>
  <c r="I678" i="22"/>
  <c r="K678" i="22" s="1"/>
  <c r="J675" i="22"/>
  <c r="I671" i="22"/>
  <c r="K671" i="22" s="1"/>
  <c r="I670" i="22"/>
  <c r="K670" i="22" s="1"/>
  <c r="J669" i="22"/>
  <c r="I669" i="22"/>
  <c r="K675" i="22" s="1"/>
  <c r="P667" i="22"/>
  <c r="O667" i="22"/>
  <c r="P666" i="22"/>
  <c r="O666" i="22"/>
  <c r="P665" i="22"/>
  <c r="N665" i="22"/>
  <c r="M665" i="22"/>
  <c r="L665" i="22"/>
  <c r="O665" i="22" s="1"/>
  <c r="N664" i="22"/>
  <c r="N660" i="22" s="1"/>
  <c r="L660" i="22"/>
  <c r="L658" i="22" s="1"/>
  <c r="P659" i="22"/>
  <c r="O659" i="22"/>
  <c r="P656" i="22"/>
  <c r="O656" i="22"/>
  <c r="N656" i="22"/>
  <c r="M656" i="22"/>
  <c r="L656" i="22"/>
  <c r="J654" i="22"/>
  <c r="K652" i="22"/>
  <c r="J652" i="22"/>
  <c r="J651" i="22"/>
  <c r="J628" i="22" s="1"/>
  <c r="I651" i="22"/>
  <c r="I628" i="22" s="1"/>
  <c r="K628" i="22" s="1"/>
  <c r="K650" i="22"/>
  <c r="J650" i="22"/>
  <c r="J649" i="22"/>
  <c r="I649" i="22"/>
  <c r="K649" i="22" s="1"/>
  <c r="K648" i="22"/>
  <c r="J648" i="22"/>
  <c r="J647" i="22"/>
  <c r="I647" i="22"/>
  <c r="K647" i="22" s="1"/>
  <c r="K646" i="22"/>
  <c r="J646" i="22"/>
  <c r="K645" i="22"/>
  <c r="J645" i="22"/>
  <c r="I644" i="22"/>
  <c r="K644" i="22" s="1"/>
  <c r="I643" i="22"/>
  <c r="K643" i="22" s="1"/>
  <c r="P641" i="22"/>
  <c r="L641" i="22"/>
  <c r="L639" i="22" s="1"/>
  <c r="O639" i="22" s="1"/>
  <c r="P640" i="22"/>
  <c r="O640" i="22"/>
  <c r="P639" i="22"/>
  <c r="N639" i="22"/>
  <c r="M639" i="22"/>
  <c r="P634" i="22"/>
  <c r="N634" i="22"/>
  <c r="N631" i="22" s="1"/>
  <c r="N629" i="22" s="1"/>
  <c r="L634" i="22"/>
  <c r="L632" i="22" s="1"/>
  <c r="O632" i="22" s="1"/>
  <c r="P633" i="22"/>
  <c r="O633" i="22"/>
  <c r="N632" i="22"/>
  <c r="M632" i="22"/>
  <c r="P632" i="22" s="1"/>
  <c r="M631" i="22"/>
  <c r="P631" i="22" s="1"/>
  <c r="N630" i="22"/>
  <c r="M630" i="22"/>
  <c r="P630" i="22" s="1"/>
  <c r="L630" i="22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4" i="22" s="1"/>
  <c r="J595" i="22"/>
  <c r="J593" i="22" s="1"/>
  <c r="J592" i="22" s="1"/>
  <c r="I594" i="22"/>
  <c r="I593" i="22"/>
  <c r="I592" i="22" s="1"/>
  <c r="K592" i="22" s="1"/>
  <c r="J583" i="22"/>
  <c r="J582" i="22"/>
  <c r="J576" i="22" s="1"/>
  <c r="J559" i="22" s="1"/>
  <c r="J543" i="22" s="1"/>
  <c r="J577" i="22"/>
  <c r="I577" i="22"/>
  <c r="K577" i="22" s="1"/>
  <c r="I576" i="22"/>
  <c r="I559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P557" i="22"/>
  <c r="L557" i="22"/>
  <c r="L555" i="22" s="1"/>
  <c r="O555" i="22" s="1"/>
  <c r="P556" i="22"/>
  <c r="O556" i="22"/>
  <c r="N555" i="22"/>
  <c r="M555" i="22"/>
  <c r="P555" i="22" s="1"/>
  <c r="N549" i="22"/>
  <c r="N547" i="22" s="1"/>
  <c r="L549" i="22"/>
  <c r="L547" i="22" s="1"/>
  <c r="O547" i="22" s="1"/>
  <c r="P548" i="22"/>
  <c r="O548" i="22"/>
  <c r="N546" i="22"/>
  <c r="O545" i="22"/>
  <c r="N545" i="22"/>
  <c r="L545" i="22"/>
  <c r="N544" i="22"/>
  <c r="I542" i="22"/>
  <c r="K542" i="22" s="1"/>
  <c r="I541" i="22"/>
  <c r="K541" i="22" s="1"/>
  <c r="I540" i="22"/>
  <c r="K540" i="22" s="1"/>
  <c r="I539" i="22"/>
  <c r="K539" i="22" s="1"/>
  <c r="I538" i="22"/>
  <c r="K538" i="22" s="1"/>
  <c r="I537" i="22"/>
  <c r="I522" i="22" s="1"/>
  <c r="K522" i="22" s="1"/>
  <c r="P535" i="22"/>
  <c r="L535" i="22"/>
  <c r="O535" i="22" s="1"/>
  <c r="P534" i="22"/>
  <c r="O534" i="22"/>
  <c r="P533" i="22"/>
  <c r="N533" i="22"/>
  <c r="M533" i="22"/>
  <c r="L533" i="22"/>
  <c r="O533" i="22" s="1"/>
  <c r="P528" i="22"/>
  <c r="N528" i="22"/>
  <c r="L528" i="22"/>
  <c r="L526" i="22" s="1"/>
  <c r="O526" i="22" s="1"/>
  <c r="P527" i="22"/>
  <c r="O527" i="22"/>
  <c r="P526" i="22"/>
  <c r="N526" i="22"/>
  <c r="M526" i="22"/>
  <c r="P525" i="22"/>
  <c r="N525" i="22"/>
  <c r="M525" i="22"/>
  <c r="O524" i="22"/>
  <c r="N524" i="22"/>
  <c r="N523" i="22" s="1"/>
  <c r="M524" i="22"/>
  <c r="P524" i="22" s="1"/>
  <c r="L524" i="22"/>
  <c r="M523" i="22"/>
  <c r="P523" i="22" s="1"/>
  <c r="K517" i="22"/>
  <c r="J517" i="22"/>
  <c r="J501" i="22" s="1"/>
  <c r="K516" i="22"/>
  <c r="P514" i="22"/>
  <c r="O514" i="22"/>
  <c r="P513" i="22"/>
  <c r="O513" i="22"/>
  <c r="P512" i="22"/>
  <c r="O512" i="22"/>
  <c r="N512" i="22"/>
  <c r="M512" i="22"/>
  <c r="L512" i="22"/>
  <c r="P507" i="22"/>
  <c r="O507" i="22"/>
  <c r="N507" i="22"/>
  <c r="P506" i="22"/>
  <c r="O506" i="22"/>
  <c r="O505" i="22"/>
  <c r="N505" i="22"/>
  <c r="M505" i="22"/>
  <c r="P505" i="22" s="1"/>
  <c r="L505" i="22"/>
  <c r="N504" i="22"/>
  <c r="N502" i="22" s="1"/>
  <c r="M504" i="22"/>
  <c r="P504" i="22" s="1"/>
  <c r="L504" i="22"/>
  <c r="O504" i="22" s="1"/>
  <c r="N503" i="22"/>
  <c r="M503" i="22"/>
  <c r="P503" i="22" s="1"/>
  <c r="L503" i="22"/>
  <c r="L502" i="22" s="1"/>
  <c r="O502" i="22" s="1"/>
  <c r="K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L477" i="22" s="1"/>
  <c r="O477" i="22" s="1"/>
  <c r="P478" i="22"/>
  <c r="O478" i="22"/>
  <c r="P477" i="22"/>
  <c r="N477" i="22"/>
  <c r="M477" i="22"/>
  <c r="P472" i="22"/>
  <c r="N472" i="22"/>
  <c r="N469" i="22" s="1"/>
  <c r="N467" i="22" s="1"/>
  <c r="L472" i="22"/>
  <c r="L470" i="22" s="1"/>
  <c r="O470" i="22" s="1"/>
  <c r="P471" i="22"/>
  <c r="O471" i="22"/>
  <c r="N470" i="22"/>
  <c r="M470" i="22"/>
  <c r="P470" i="22" s="1"/>
  <c r="M469" i="22"/>
  <c r="P469" i="22" s="1"/>
  <c r="N468" i="22"/>
  <c r="M468" i="22"/>
  <c r="P468" i="22" s="1"/>
  <c r="L468" i="22"/>
  <c r="J466" i="22"/>
  <c r="I466" i="22"/>
  <c r="K466" i="22" s="1"/>
  <c r="J465" i="22"/>
  <c r="I465" i="22"/>
  <c r="K465" i="22" s="1"/>
  <c r="I464" i="22"/>
  <c r="I463" i="22"/>
  <c r="I462" i="22"/>
  <c r="K462" i="22" s="1"/>
  <c r="I460" i="22"/>
  <c r="K460" i="22" s="1"/>
  <c r="K458" i="22"/>
  <c r="P456" i="22"/>
  <c r="L456" i="22"/>
  <c r="L454" i="22" s="1"/>
  <c r="O454" i="22" s="1"/>
  <c r="P455" i="22"/>
  <c r="O455" i="22"/>
  <c r="P454" i="22"/>
  <c r="N454" i="22"/>
  <c r="M454" i="22"/>
  <c r="N453" i="22"/>
  <c r="N451" i="22"/>
  <c r="N450" i="22"/>
  <c r="N449" i="22" s="1"/>
  <c r="L449" i="22"/>
  <c r="M449" i="22" s="1"/>
  <c r="P448" i="22"/>
  <c r="O448" i="22"/>
  <c r="P445" i="22"/>
  <c r="N445" i="22"/>
  <c r="M445" i="22"/>
  <c r="L445" i="22"/>
  <c r="O445" i="22" s="1"/>
  <c r="J443" i="22"/>
  <c r="J442" i="22"/>
  <c r="I441" i="22"/>
  <c r="K441" i="22" s="1"/>
  <c r="I440" i="22"/>
  <c r="K440" i="22" s="1"/>
  <c r="I439" i="22"/>
  <c r="K439" i="22" s="1"/>
  <c r="I438" i="22"/>
  <c r="I437" i="22"/>
  <c r="K437" i="22" s="1"/>
  <c r="I435" i="22"/>
  <c r="I433" i="22" s="1"/>
  <c r="I417" i="22" s="1"/>
  <c r="J434" i="22"/>
  <c r="J418" i="22" s="1"/>
  <c r="P431" i="22"/>
  <c r="L431" i="22"/>
  <c r="L429" i="22" s="1"/>
  <c r="O429" i="22" s="1"/>
  <c r="P430" i="22"/>
  <c r="O430" i="22"/>
  <c r="N429" i="22"/>
  <c r="M429" i="22"/>
  <c r="P429" i="22" s="1"/>
  <c r="N428" i="22"/>
  <c r="N425" i="22"/>
  <c r="N424" i="22"/>
  <c r="N422" i="22" s="1"/>
  <c r="L424" i="22"/>
  <c r="M424" i="22" s="1"/>
  <c r="P423" i="22"/>
  <c r="O423" i="22"/>
  <c r="N421" i="22"/>
  <c r="O420" i="22"/>
  <c r="N420" i="22"/>
  <c r="N419" i="22" s="1"/>
  <c r="M420" i="22"/>
  <c r="P420" i="22" s="1"/>
  <c r="L420" i="22"/>
  <c r="K413" i="22"/>
  <c r="K412" i="22"/>
  <c r="N410" i="22"/>
  <c r="N408" i="22" s="1"/>
  <c r="M410" i="22"/>
  <c r="P410" i="22" s="1"/>
  <c r="L410" i="22"/>
  <c r="L408" i="22" s="1"/>
  <c r="O408" i="22" s="1"/>
  <c r="P409" i="22"/>
  <c r="O409" i="22"/>
  <c r="N407" i="22"/>
  <c r="M407" i="22"/>
  <c r="P407" i="22" s="1"/>
  <c r="L407" i="22"/>
  <c r="P406" i="22"/>
  <c r="O406" i="22"/>
  <c r="N403" i="22"/>
  <c r="M403" i="22"/>
  <c r="L403" i="22"/>
  <c r="O403" i="22" s="1"/>
  <c r="K401" i="22"/>
  <c r="J401" i="22"/>
  <c r="I401" i="22"/>
  <c r="K400" i="22"/>
  <c r="K399" i="22"/>
  <c r="N397" i="22"/>
  <c r="N395" i="22" s="1"/>
  <c r="M397" i="22"/>
  <c r="P397" i="22" s="1"/>
  <c r="L397" i="22"/>
  <c r="L395" i="22" s="1"/>
  <c r="O395" i="22" s="1"/>
  <c r="P396" i="22"/>
  <c r="O396" i="22"/>
  <c r="N394" i="22"/>
  <c r="M394" i="22"/>
  <c r="L394" i="22"/>
  <c r="L392" i="22" s="1"/>
  <c r="O392" i="22" s="1"/>
  <c r="P393" i="22"/>
  <c r="O393" i="22"/>
  <c r="O390" i="22"/>
  <c r="N390" i="22"/>
  <c r="M390" i="22"/>
  <c r="P390" i="22" s="1"/>
  <c r="L390" i="22"/>
  <c r="K388" i="22"/>
  <c r="J388" i="22"/>
  <c r="I388" i="22"/>
  <c r="J385" i="22"/>
  <c r="I385" i="22"/>
  <c r="K385" i="22" s="1"/>
  <c r="K382" i="22"/>
  <c r="J382" i="22"/>
  <c r="J381" i="22"/>
  <c r="J374" i="22" s="1"/>
  <c r="I381" i="22"/>
  <c r="K381" i="22" s="1"/>
  <c r="K380" i="22"/>
  <c r="J380" i="22"/>
  <c r="J379" i="22"/>
  <c r="I379" i="22"/>
  <c r="K379" i="22" s="1"/>
  <c r="J378" i="22"/>
  <c r="I378" i="22"/>
  <c r="K378" i="22" s="1"/>
  <c r="K377" i="22"/>
  <c r="J377" i="22"/>
  <c r="I374" i="22"/>
  <c r="K374" i="22" s="1"/>
  <c r="K373" i="22"/>
  <c r="J373" i="22"/>
  <c r="J372" i="22"/>
  <c r="J365" i="22" s="1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I365" i="22"/>
  <c r="K363" i="22"/>
  <c r="J363" i="22"/>
  <c r="J362" i="22"/>
  <c r="J355" i="22" s="1"/>
  <c r="I362" i="22"/>
  <c r="K362" i="22" s="1"/>
  <c r="K361" i="22"/>
  <c r="J361" i="22"/>
  <c r="J360" i="22"/>
  <c r="I360" i="22"/>
  <c r="K360" i="22" s="1"/>
  <c r="J359" i="22"/>
  <c r="I359" i="22"/>
  <c r="K359" i="22" s="1"/>
  <c r="K358" i="22"/>
  <c r="J358" i="22"/>
  <c r="I355" i="22"/>
  <c r="K355" i="22" s="1"/>
  <c r="N353" i="22"/>
  <c r="N351" i="22" s="1"/>
  <c r="M353" i="22"/>
  <c r="M351" i="22" s="1"/>
  <c r="L353" i="22"/>
  <c r="L351" i="22" s="1"/>
  <c r="P352" i="22"/>
  <c r="O352" i="22"/>
  <c r="N350" i="22"/>
  <c r="M350" i="22"/>
  <c r="M348" i="22" s="1"/>
  <c r="L350" i="22"/>
  <c r="L348" i="22" s="1"/>
  <c r="P349" i="22"/>
  <c r="O349" i="22"/>
  <c r="O346" i="22"/>
  <c r="N346" i="22"/>
  <c r="M346" i="22"/>
  <c r="P346" i="22" s="1"/>
  <c r="L346" i="22"/>
  <c r="J343" i="22"/>
  <c r="J342" i="22"/>
  <c r="J341" i="22"/>
  <c r="J340" i="22"/>
  <c r="I340" i="22"/>
  <c r="J338" i="22"/>
  <c r="I338" i="22"/>
  <c r="N336" i="22"/>
  <c r="N334" i="22" s="1"/>
  <c r="M336" i="22"/>
  <c r="P336" i="22" s="1"/>
  <c r="L336" i="22"/>
  <c r="L334" i="22" s="1"/>
  <c r="O334" i="22" s="1"/>
  <c r="P335" i="22"/>
  <c r="O335" i="22"/>
  <c r="N333" i="22"/>
  <c r="M333" i="22"/>
  <c r="M331" i="22" s="1"/>
  <c r="L333" i="22"/>
  <c r="L331" i="22" s="1"/>
  <c r="P332" i="22"/>
  <c r="O332" i="22"/>
  <c r="O329" i="22"/>
  <c r="N329" i="22"/>
  <c r="M329" i="22"/>
  <c r="P329" i="22" s="1"/>
  <c r="L329" i="22"/>
  <c r="I327" i="22"/>
  <c r="I325" i="22"/>
  <c r="K325" i="22" s="1"/>
  <c r="N323" i="22"/>
  <c r="N321" i="22" s="1"/>
  <c r="M323" i="22"/>
  <c r="L323" i="22"/>
  <c r="O323" i="22" s="1"/>
  <c r="P322" i="22"/>
  <c r="O322" i="22"/>
  <c r="N320" i="22"/>
  <c r="N318" i="22" s="1"/>
  <c r="M320" i="22"/>
  <c r="P320" i="22" s="1"/>
  <c r="L320" i="22"/>
  <c r="L318" i="22" s="1"/>
  <c r="O318" i="22" s="1"/>
  <c r="P319" i="22"/>
  <c r="O319" i="22"/>
  <c r="P316" i="22"/>
  <c r="O316" i="22"/>
  <c r="N316" i="22"/>
  <c r="M316" i="22"/>
  <c r="L316" i="22"/>
  <c r="J314" i="22"/>
  <c r="I312" i="22"/>
  <c r="K312" i="22" s="1"/>
  <c r="I311" i="22"/>
  <c r="K311" i="22" s="1"/>
  <c r="I310" i="22"/>
  <c r="K310" i="22" s="1"/>
  <c r="I309" i="22"/>
  <c r="K309" i="22" s="1"/>
  <c r="N306" i="22"/>
  <c r="N304" i="22" s="1"/>
  <c r="M306" i="22"/>
  <c r="P306" i="22" s="1"/>
  <c r="L306" i="22"/>
  <c r="O306" i="22" s="1"/>
  <c r="P305" i="22"/>
  <c r="O305" i="22"/>
  <c r="N303" i="22"/>
  <c r="N301" i="22" s="1"/>
  <c r="M303" i="22"/>
  <c r="P303" i="22" s="1"/>
  <c r="L303" i="22"/>
  <c r="O303" i="22" s="1"/>
  <c r="P302" i="22"/>
  <c r="O302" i="22"/>
  <c r="N299" i="22"/>
  <c r="M299" i="22"/>
  <c r="L299" i="22"/>
  <c r="O299" i="22" s="1"/>
  <c r="J297" i="22"/>
  <c r="I294" i="22"/>
  <c r="K294" i="22" s="1"/>
  <c r="I293" i="22"/>
  <c r="K293" i="22" s="1"/>
  <c r="I291" i="22"/>
  <c r="K291" i="22" s="1"/>
  <c r="I290" i="22"/>
  <c r="K290" i="22" s="1"/>
  <c r="I288" i="22"/>
  <c r="K288" i="22" s="1"/>
  <c r="I287" i="22"/>
  <c r="I276" i="22" s="1"/>
  <c r="K276" i="22" s="1"/>
  <c r="N285" i="22"/>
  <c r="N283" i="22" s="1"/>
  <c r="M285" i="22"/>
  <c r="P285" i="22" s="1"/>
  <c r="L285" i="22"/>
  <c r="L283" i="22" s="1"/>
  <c r="O283" i="22" s="1"/>
  <c r="P284" i="22"/>
  <c r="O284" i="22"/>
  <c r="N282" i="22"/>
  <c r="M282" i="22"/>
  <c r="P282" i="22" s="1"/>
  <c r="L282" i="22"/>
  <c r="L280" i="22" s="1"/>
  <c r="O280" i="22" s="1"/>
  <c r="P281" i="22"/>
  <c r="O281" i="22"/>
  <c r="N278" i="22"/>
  <c r="M278" i="22"/>
  <c r="P278" i="22" s="1"/>
  <c r="L278" i="22"/>
  <c r="O278" i="22" s="1"/>
  <c r="J276" i="22"/>
  <c r="I271" i="22"/>
  <c r="K271" i="22" s="1"/>
  <c r="N269" i="22"/>
  <c r="N267" i="22" s="1"/>
  <c r="M269" i="22"/>
  <c r="P269" i="22" s="1"/>
  <c r="L269" i="22"/>
  <c r="O269" i="22" s="1"/>
  <c r="P268" i="22"/>
  <c r="O268" i="22"/>
  <c r="N266" i="22"/>
  <c r="N264" i="22" s="1"/>
  <c r="M266" i="22"/>
  <c r="M264" i="22" s="1"/>
  <c r="L266" i="22"/>
  <c r="P265" i="22"/>
  <c r="O265" i="22"/>
  <c r="N262" i="22"/>
  <c r="M262" i="22"/>
  <c r="L262" i="22"/>
  <c r="O262" i="22" s="1"/>
  <c r="J260" i="22"/>
  <c r="K258" i="22"/>
  <c r="K257" i="22"/>
  <c r="I255" i="22"/>
  <c r="I248" i="22" s="1"/>
  <c r="L253" i="22"/>
  <c r="L252" i="22"/>
  <c r="L251" i="22"/>
  <c r="L250" i="22"/>
  <c r="P249" i="22"/>
  <c r="N249" i="22"/>
  <c r="N227" i="22" s="1"/>
  <c r="J248" i="22"/>
  <c r="K247" i="22"/>
  <c r="K246" i="22"/>
  <c r="I244" i="22"/>
  <c r="I237" i="22" s="1"/>
  <c r="K237" i="22" s="1"/>
  <c r="L242" i="22"/>
  <c r="L241" i="22"/>
  <c r="L240" i="22"/>
  <c r="L239" i="22"/>
  <c r="P238" i="22"/>
  <c r="N238" i="22"/>
  <c r="J237" i="22"/>
  <c r="J226" i="22" s="1"/>
  <c r="J180" i="22" s="1"/>
  <c r="J236" i="22"/>
  <c r="I236" i="22"/>
  <c r="K236" i="22" s="1"/>
  <c r="K235" i="22"/>
  <c r="J235" i="22"/>
  <c r="I235" i="22"/>
  <c r="J233" i="22"/>
  <c r="N231" i="22"/>
  <c r="N230" i="22"/>
  <c r="N229" i="22"/>
  <c r="N228" i="22"/>
  <c r="I225" i="22"/>
  <c r="K225" i="22" s="1"/>
  <c r="I224" i="22"/>
  <c r="K224" i="22" s="1"/>
  <c r="I223" i="22"/>
  <c r="K223" i="22" s="1"/>
  <c r="L220" i="22"/>
  <c r="L219" i="22"/>
  <c r="L218" i="22"/>
  <c r="P217" i="22"/>
  <c r="N217" i="22"/>
  <c r="J216" i="22"/>
  <c r="I215" i="22"/>
  <c r="I208" i="22" s="1"/>
  <c r="K208" i="22" s="1"/>
  <c r="I214" i="22"/>
  <c r="K214" i="22" s="1"/>
  <c r="L212" i="22"/>
  <c r="L211" i="22"/>
  <c r="L210" i="22"/>
  <c r="P209" i="22"/>
  <c r="N209" i="22"/>
  <c r="J208" i="22"/>
  <c r="I204" i="22"/>
  <c r="I197" i="22" s="1"/>
  <c r="K197" i="22" s="1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N189" i="22"/>
  <c r="N187" i="22" s="1"/>
  <c r="M189" i="22"/>
  <c r="M187" i="22" s="1"/>
  <c r="P187" i="22" s="1"/>
  <c r="L189" i="22"/>
  <c r="L187" i="22" s="1"/>
  <c r="O187" i="22" s="1"/>
  <c r="P188" i="22"/>
  <c r="O188" i="22"/>
  <c r="N186" i="22"/>
  <c r="M186" i="22"/>
  <c r="M184" i="22" s="1"/>
  <c r="L186" i="22"/>
  <c r="P185" i="22"/>
  <c r="O185" i="22"/>
  <c r="O182" i="22"/>
  <c r="N182" i="22"/>
  <c r="M182" i="22"/>
  <c r="P182" i="22" s="1"/>
  <c r="L182" i="22"/>
  <c r="J177" i="22"/>
  <c r="J164" i="22" s="1"/>
  <c r="I176" i="22"/>
  <c r="I174" i="22" s="1"/>
  <c r="J174" i="22"/>
  <c r="N173" i="22"/>
  <c r="N171" i="22" s="1"/>
  <c r="M173" i="22"/>
  <c r="M171" i="22" s="1"/>
  <c r="P171" i="22" s="1"/>
  <c r="L173" i="22"/>
  <c r="O173" i="22" s="1"/>
  <c r="P172" i="22"/>
  <c r="O172" i="22"/>
  <c r="N170" i="22"/>
  <c r="N168" i="22" s="1"/>
  <c r="M170" i="22"/>
  <c r="M168" i="22" s="1"/>
  <c r="P168" i="22" s="1"/>
  <c r="L170" i="22"/>
  <c r="O170" i="22" s="1"/>
  <c r="P169" i="22"/>
  <c r="O169" i="22"/>
  <c r="O166" i="22"/>
  <c r="N166" i="22"/>
  <c r="M166" i="22"/>
  <c r="P166" i="22" s="1"/>
  <c r="L166" i="22"/>
  <c r="I159" i="22"/>
  <c r="K159" i="22" s="1"/>
  <c r="N157" i="22"/>
  <c r="N155" i="22" s="1"/>
  <c r="M157" i="22"/>
  <c r="P157" i="22" s="1"/>
  <c r="L157" i="22"/>
  <c r="L155" i="22" s="1"/>
  <c r="O155" i="22" s="1"/>
  <c r="P156" i="22"/>
  <c r="O156" i="22"/>
  <c r="N154" i="22"/>
  <c r="N152" i="22" s="1"/>
  <c r="M154" i="22"/>
  <c r="P154" i="22" s="1"/>
  <c r="L154" i="22"/>
  <c r="L152" i="22" s="1"/>
  <c r="O152" i="22" s="1"/>
  <c r="P153" i="22"/>
  <c r="O153" i="22"/>
  <c r="P150" i="22"/>
  <c r="O150" i="22"/>
  <c r="N150" i="22"/>
  <c r="M150" i="22"/>
  <c r="L150" i="22"/>
  <c r="J148" i="22"/>
  <c r="I146" i="22"/>
  <c r="K146" i="22" s="1"/>
  <c r="I145" i="22"/>
  <c r="K145" i="22" s="1"/>
  <c r="I144" i="22"/>
  <c r="K144" i="22" s="1"/>
  <c r="N140" i="22"/>
  <c r="M140" i="22"/>
  <c r="L140" i="22"/>
  <c r="L138" i="22" s="1"/>
  <c r="O138" i="22" s="1"/>
  <c r="P139" i="22"/>
  <c r="O139" i="22"/>
  <c r="N137" i="22"/>
  <c r="N135" i="22" s="1"/>
  <c r="M137" i="22"/>
  <c r="L137" i="22"/>
  <c r="L135" i="22" s="1"/>
  <c r="O135" i="22" s="1"/>
  <c r="P136" i="22"/>
  <c r="O136" i="22"/>
  <c r="N133" i="22"/>
  <c r="M133" i="22"/>
  <c r="P133" i="22" s="1"/>
  <c r="L133" i="22"/>
  <c r="J130" i="22"/>
  <c r="N127" i="22"/>
  <c r="N125" i="22" s="1"/>
  <c r="M127" i="22"/>
  <c r="P127" i="22" s="1"/>
  <c r="L127" i="22"/>
  <c r="O127" i="22" s="1"/>
  <c r="P126" i="22"/>
  <c r="O126" i="22"/>
  <c r="N124" i="22"/>
  <c r="N122" i="22" s="1"/>
  <c r="M124" i="22"/>
  <c r="M122" i="22" s="1"/>
  <c r="P122" i="22" s="1"/>
  <c r="L124" i="22"/>
  <c r="O124" i="22" s="1"/>
  <c r="P123" i="22"/>
  <c r="O123" i="22"/>
  <c r="P120" i="22"/>
  <c r="O120" i="22"/>
  <c r="N120" i="22"/>
  <c r="M120" i="22"/>
  <c r="L120" i="22"/>
  <c r="I116" i="22"/>
  <c r="K116" i="22" s="1"/>
  <c r="I115" i="22"/>
  <c r="K115" i="22" s="1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K100" i="22" s="1"/>
  <c r="J99" i="22"/>
  <c r="J87" i="22" s="1"/>
  <c r="I99" i="22"/>
  <c r="I87" i="22" s="1"/>
  <c r="K87" i="22" s="1"/>
  <c r="J98" i="22"/>
  <c r="I98" i="22"/>
  <c r="K98" i="22" s="1"/>
  <c r="N96" i="22"/>
  <c r="N94" i="22" s="1"/>
  <c r="M96" i="22"/>
  <c r="M94" i="22" s="1"/>
  <c r="P94" i="22" s="1"/>
  <c r="L96" i="22"/>
  <c r="O96" i="22" s="1"/>
  <c r="P95" i="22"/>
  <c r="O95" i="22"/>
  <c r="N93" i="22"/>
  <c r="N91" i="22" s="1"/>
  <c r="M93" i="22"/>
  <c r="M91" i="22" s="1"/>
  <c r="L93" i="22"/>
  <c r="P92" i="22"/>
  <c r="O92" i="22"/>
  <c r="N89" i="22"/>
  <c r="M89" i="22"/>
  <c r="P89" i="22" s="1"/>
  <c r="L89" i="22"/>
  <c r="O89" i="22" s="1"/>
  <c r="J86" i="22"/>
  <c r="I84" i="22"/>
  <c r="K84" i="22" s="1"/>
  <c r="I83" i="22"/>
  <c r="K83" i="22" s="1"/>
  <c r="I82" i="22"/>
  <c r="K82" i="22" s="1"/>
  <c r="I81" i="22"/>
  <c r="K81" i="22" s="1"/>
  <c r="I80" i="22"/>
  <c r="I79" i="22"/>
  <c r="K79" i="22" s="1"/>
  <c r="I78" i="22"/>
  <c r="K78" i="22" s="1"/>
  <c r="J77" i="22"/>
  <c r="J65" i="22" s="1"/>
  <c r="J76" i="22"/>
  <c r="N74" i="22"/>
  <c r="N72" i="22" s="1"/>
  <c r="M74" i="22"/>
  <c r="P74" i="22" s="1"/>
  <c r="L74" i="22"/>
  <c r="L72" i="22" s="1"/>
  <c r="O72" i="22" s="1"/>
  <c r="P73" i="22"/>
  <c r="O73" i="22"/>
  <c r="N71" i="22"/>
  <c r="N69" i="22" s="1"/>
  <c r="M71" i="22"/>
  <c r="P71" i="22" s="1"/>
  <c r="L71" i="22"/>
  <c r="L69" i="22" s="1"/>
  <c r="O69" i="22" s="1"/>
  <c r="P70" i="22"/>
  <c r="O70" i="22"/>
  <c r="N67" i="22"/>
  <c r="M67" i="22"/>
  <c r="P67" i="22" s="1"/>
  <c r="L67" i="22"/>
  <c r="O67" i="22" s="1"/>
  <c r="J64" i="22"/>
  <c r="N61" i="22"/>
  <c r="N59" i="22" s="1"/>
  <c r="M61" i="22"/>
  <c r="P61" i="22" s="1"/>
  <c r="L61" i="22"/>
  <c r="L59" i="22" s="1"/>
  <c r="O59" i="22" s="1"/>
  <c r="P60" i="22"/>
  <c r="O60" i="22"/>
  <c r="N58" i="22"/>
  <c r="M58" i="22"/>
  <c r="L58" i="22"/>
  <c r="L56" i="22" s="1"/>
  <c r="P57" i="22"/>
  <c r="O57" i="22"/>
  <c r="P54" i="22"/>
  <c r="O54" i="22"/>
  <c r="N54" i="22"/>
  <c r="M54" i="22"/>
  <c r="L54" i="22"/>
  <c r="N49" i="22"/>
  <c r="N47" i="22" s="1"/>
  <c r="M49" i="22"/>
  <c r="P49" i="22" s="1"/>
  <c r="L49" i="22"/>
  <c r="L47" i="22" s="1"/>
  <c r="O47" i="22" s="1"/>
  <c r="P48" i="22"/>
  <c r="O48" i="22"/>
  <c r="N46" i="22"/>
  <c r="N44" i="22" s="1"/>
  <c r="M46" i="22"/>
  <c r="M44" i="22" s="1"/>
  <c r="L46" i="22"/>
  <c r="L44" i="22" s="1"/>
  <c r="P45" i="22"/>
  <c r="O45" i="22"/>
  <c r="N42" i="22"/>
  <c r="M42" i="22"/>
  <c r="P42" i="22" s="1"/>
  <c r="L42" i="22"/>
  <c r="O42" i="22" s="1"/>
  <c r="P36" i="22"/>
  <c r="N36" i="22"/>
  <c r="M36" i="22"/>
  <c r="P35" i="22"/>
  <c r="O35" i="22"/>
  <c r="N35" i="22"/>
  <c r="N34" i="22" s="1"/>
  <c r="M35" i="22"/>
  <c r="L35" i="22"/>
  <c r="M34" i="22"/>
  <c r="P34" i="22" s="1"/>
  <c r="N33" i="22"/>
  <c r="N32" i="22"/>
  <c r="N31" i="22" s="1"/>
  <c r="M32" i="22"/>
  <c r="P32" i="22" s="1"/>
  <c r="L32" i="22"/>
  <c r="N30" i="22"/>
  <c r="N25" i="22"/>
  <c r="M25" i="22"/>
  <c r="M15" i="22" s="1"/>
  <c r="L25" i="22"/>
  <c r="P22" i="22"/>
  <c r="O22" i="22"/>
  <c r="N22" i="22"/>
  <c r="M22" i="22"/>
  <c r="M12" i="22" s="1"/>
  <c r="L22" i="22"/>
  <c r="M19" i="22"/>
  <c r="P19" i="22" s="1"/>
  <c r="N15" i="22"/>
  <c r="N12" i="22"/>
  <c r="N9" i="22" s="1"/>
  <c r="L12" i="22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O815" i="21"/>
  <c r="N815" i="21"/>
  <c r="M815" i="21"/>
  <c r="P815" i="21" s="1"/>
  <c r="L815" i="21"/>
  <c r="P810" i="21"/>
  <c r="O810" i="21"/>
  <c r="N810" i="21"/>
  <c r="N807" i="21" s="1"/>
  <c r="P809" i="21"/>
  <c r="O809" i="21"/>
  <c r="M808" i="21"/>
  <c r="P808" i="21" s="1"/>
  <c r="L808" i="21"/>
  <c r="O808" i="21" s="1"/>
  <c r="P807" i="21"/>
  <c r="M807" i="21"/>
  <c r="L807" i="21"/>
  <c r="O807" i="21" s="1"/>
  <c r="P806" i="21"/>
  <c r="O806" i="21"/>
  <c r="N806" i="21"/>
  <c r="M806" i="21"/>
  <c r="L806" i="21"/>
  <c r="P805" i="21"/>
  <c r="M805" i="21"/>
  <c r="K804" i="21"/>
  <c r="J804" i="21"/>
  <c r="K802" i="21"/>
  <c r="J801" i="21"/>
  <c r="J800" i="21"/>
  <c r="J785" i="21" s="1"/>
  <c r="I800" i="21"/>
  <c r="K800" i="21" s="1"/>
  <c r="P798" i="21"/>
  <c r="O798" i="21"/>
  <c r="P797" i="21"/>
  <c r="O797" i="21"/>
  <c r="N796" i="21"/>
  <c r="M796" i="21"/>
  <c r="P796" i="21" s="1"/>
  <c r="L796" i="21"/>
  <c r="O796" i="21" s="1"/>
  <c r="P791" i="21"/>
  <c r="N791" i="21"/>
  <c r="N788" i="21" s="1"/>
  <c r="N786" i="21" s="1"/>
  <c r="L791" i="21"/>
  <c r="L789" i="21" s="1"/>
  <c r="O789" i="21" s="1"/>
  <c r="P790" i="21"/>
  <c r="O790" i="21"/>
  <c r="N789" i="21"/>
  <c r="M789" i="21"/>
  <c r="P789" i="21" s="1"/>
  <c r="P788" i="21"/>
  <c r="M788" i="21"/>
  <c r="P787" i="21"/>
  <c r="O787" i="21"/>
  <c r="N787" i="21"/>
  <c r="M787" i="21"/>
  <c r="L787" i="21"/>
  <c r="P786" i="21"/>
  <c r="M786" i="21"/>
  <c r="I785" i="21"/>
  <c r="K785" i="21" s="1"/>
  <c r="P782" i="21"/>
  <c r="O782" i="21"/>
  <c r="P781" i="21"/>
  <c r="O781" i="21"/>
  <c r="P780" i="21"/>
  <c r="O780" i="21"/>
  <c r="N780" i="21"/>
  <c r="M780" i="21"/>
  <c r="L780" i="21"/>
  <c r="P775" i="21"/>
  <c r="O775" i="21"/>
  <c r="N775" i="21"/>
  <c r="N772" i="21" s="1"/>
  <c r="N770" i="21" s="1"/>
  <c r="P774" i="21"/>
  <c r="O774" i="21"/>
  <c r="N773" i="21"/>
  <c r="M773" i="21"/>
  <c r="P773" i="21" s="1"/>
  <c r="L773" i="21"/>
  <c r="O773" i="21" s="1"/>
  <c r="M772" i="21"/>
  <c r="P772" i="21" s="1"/>
  <c r="L772" i="21"/>
  <c r="O772" i="21" s="1"/>
  <c r="P771" i="21"/>
  <c r="N771" i="21"/>
  <c r="M771" i="21"/>
  <c r="M770" i="21" s="1"/>
  <c r="P770" i="21" s="1"/>
  <c r="L771" i="21"/>
  <c r="O771" i="21" s="1"/>
  <c r="K769" i="21"/>
  <c r="J769" i="21"/>
  <c r="P766" i="21"/>
  <c r="O766" i="21"/>
  <c r="P765" i="21"/>
  <c r="O765" i="21"/>
  <c r="P764" i="21"/>
  <c r="O764" i="21"/>
  <c r="N764" i="21"/>
  <c r="M764" i="21"/>
  <c r="L764" i="21"/>
  <c r="P759" i="21"/>
  <c r="O759" i="21"/>
  <c r="N759" i="21"/>
  <c r="N756" i="21" s="1"/>
  <c r="N754" i="21" s="1"/>
  <c r="P758" i="21"/>
  <c r="O758" i="21"/>
  <c r="N757" i="21"/>
  <c r="M757" i="21"/>
  <c r="P757" i="21" s="1"/>
  <c r="L757" i="21"/>
  <c r="O757" i="21" s="1"/>
  <c r="M756" i="21"/>
  <c r="P756" i="21" s="1"/>
  <c r="L756" i="21"/>
  <c r="O756" i="21" s="1"/>
  <c r="P755" i="21"/>
  <c r="N755" i="21"/>
  <c r="M755" i="21"/>
  <c r="L755" i="21"/>
  <c r="O755" i="21" s="1"/>
  <c r="K753" i="21"/>
  <c r="J753" i="21"/>
  <c r="P749" i="21"/>
  <c r="O749" i="21"/>
  <c r="P748" i="21"/>
  <c r="O748" i="21"/>
  <c r="P747" i="21"/>
  <c r="O747" i="21"/>
  <c r="N747" i="21"/>
  <c r="M747" i="21"/>
  <c r="L747" i="21"/>
  <c r="P742" i="21"/>
  <c r="O742" i="21"/>
  <c r="N742" i="21"/>
  <c r="N739" i="21" s="1"/>
  <c r="N737" i="21" s="1"/>
  <c r="P741" i="21"/>
  <c r="O741" i="21"/>
  <c r="N740" i="21"/>
  <c r="M740" i="21"/>
  <c r="P740" i="21" s="1"/>
  <c r="L740" i="21"/>
  <c r="O740" i="21" s="1"/>
  <c r="M739" i="21"/>
  <c r="P739" i="21" s="1"/>
  <c r="L739" i="21"/>
  <c r="O739" i="21" s="1"/>
  <c r="P738" i="21"/>
  <c r="N738" i="21"/>
  <c r="M738" i="21"/>
  <c r="L738" i="21"/>
  <c r="O738" i="21" s="1"/>
  <c r="K736" i="21"/>
  <c r="J736" i="21"/>
  <c r="J729" i="21"/>
  <c r="I729" i="21"/>
  <c r="J728" i="21"/>
  <c r="I728" i="2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J719" i="21"/>
  <c r="J718" i="21"/>
  <c r="J708" i="21"/>
  <c r="I708" i="21"/>
  <c r="I707" i="21"/>
  <c r="I704" i="21"/>
  <c r="J701" i="21"/>
  <c r="I701" i="21"/>
  <c r="J700" i="21"/>
  <c r="I700" i="21"/>
  <c r="K700" i="21" s="1"/>
  <c r="J699" i="21"/>
  <c r="I699" i="21"/>
  <c r="K699" i="21" s="1"/>
  <c r="P697" i="21"/>
  <c r="O697" i="21"/>
  <c r="P696" i="21"/>
  <c r="O696" i="21"/>
  <c r="P695" i="21"/>
  <c r="O695" i="21"/>
  <c r="N695" i="21"/>
  <c r="M695" i="21"/>
  <c r="L695" i="21"/>
  <c r="N694" i="21"/>
  <c r="N690" i="21"/>
  <c r="L690" i="21"/>
  <c r="L687" i="21" s="1"/>
  <c r="N688" i="21"/>
  <c r="N687" i="21"/>
  <c r="N685" i="21" s="1"/>
  <c r="N686" i="21"/>
  <c r="M686" i="21"/>
  <c r="P686" i="21" s="1"/>
  <c r="L686" i="21"/>
  <c r="O686" i="21" s="1"/>
  <c r="J679" i="21"/>
  <c r="J678" i="21" s="1"/>
  <c r="I678" i="21"/>
  <c r="K678" i="21" s="1"/>
  <c r="J675" i="21"/>
  <c r="J669" i="21" s="1"/>
  <c r="I671" i="21"/>
  <c r="K671" i="21" s="1"/>
  <c r="I670" i="21"/>
  <c r="K670" i="21" s="1"/>
  <c r="I669" i="21"/>
  <c r="K675" i="21" s="1"/>
  <c r="P667" i="21"/>
  <c r="O667" i="21"/>
  <c r="P666" i="21"/>
  <c r="O666" i="21"/>
  <c r="N665" i="21"/>
  <c r="M665" i="21"/>
  <c r="P665" i="21" s="1"/>
  <c r="L665" i="21"/>
  <c r="O665" i="21" s="1"/>
  <c r="N660" i="21"/>
  <c r="N658" i="21" s="1"/>
  <c r="L660" i="21"/>
  <c r="L658" i="21" s="1"/>
  <c r="O658" i="21" s="1"/>
  <c r="P659" i="21"/>
  <c r="O659" i="21"/>
  <c r="N657" i="21"/>
  <c r="P656" i="21"/>
  <c r="O656" i="21"/>
  <c r="N656" i="21"/>
  <c r="M656" i="21"/>
  <c r="L656" i="21"/>
  <c r="N655" i="21"/>
  <c r="K652" i="21"/>
  <c r="J652" i="21"/>
  <c r="J651" i="21"/>
  <c r="J628" i="21" s="1"/>
  <c r="I651" i="2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P640" i="21"/>
  <c r="O640" i="21"/>
  <c r="P639" i="21"/>
  <c r="N639" i="21"/>
  <c r="M639" i="21"/>
  <c r="N638" i="21"/>
  <c r="N634" i="21"/>
  <c r="L634" i="21"/>
  <c r="L632" i="21" s="1"/>
  <c r="P633" i="21"/>
  <c r="O633" i="21"/>
  <c r="N631" i="21"/>
  <c r="O630" i="21"/>
  <c r="N630" i="21"/>
  <c r="M630" i="21"/>
  <c r="P630" i="21" s="1"/>
  <c r="L630" i="21"/>
  <c r="N629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6" i="21"/>
  <c r="J594" i="21" s="1"/>
  <c r="J595" i="21"/>
  <c r="I594" i="21"/>
  <c r="J593" i="21"/>
  <c r="I593" i="21"/>
  <c r="I592" i="21" s="1"/>
  <c r="J583" i="21"/>
  <c r="J577" i="21" s="1"/>
  <c r="J582" i="21"/>
  <c r="I577" i="21"/>
  <c r="J576" i="21"/>
  <c r="J559" i="21" s="1"/>
  <c r="J543" i="21" s="1"/>
  <c r="I576" i="21"/>
  <c r="K576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P557" i="21"/>
  <c r="L557" i="21"/>
  <c r="O557" i="21" s="1"/>
  <c r="P556" i="21"/>
  <c r="O556" i="21"/>
  <c r="N555" i="21"/>
  <c r="N545" i="21" s="1"/>
  <c r="N544" i="21" s="1"/>
  <c r="M555" i="21"/>
  <c r="P555" i="21" s="1"/>
  <c r="N553" i="21"/>
  <c r="N549" i="21"/>
  <c r="L549" i="21"/>
  <c r="L547" i="21" s="1"/>
  <c r="P548" i="21"/>
  <c r="O548" i="21"/>
  <c r="N546" i="21"/>
  <c r="M545" i="21"/>
  <c r="L545" i="21"/>
  <c r="O545" i="21" s="1"/>
  <c r="I542" i="21"/>
  <c r="K542" i="21" s="1"/>
  <c r="I541" i="21"/>
  <c r="K541" i="21" s="1"/>
  <c r="I540" i="21"/>
  <c r="K540" i="21" s="1"/>
  <c r="I539" i="21"/>
  <c r="K539" i="21" s="1"/>
  <c r="I538" i="21"/>
  <c r="I537" i="21"/>
  <c r="K537" i="21" s="1"/>
  <c r="P535" i="21"/>
  <c r="L535" i="21"/>
  <c r="P534" i="21"/>
  <c r="O534" i="21"/>
  <c r="N533" i="21"/>
  <c r="M533" i="21"/>
  <c r="P533" i="21" s="1"/>
  <c r="P528" i="21"/>
  <c r="N528" i="21"/>
  <c r="N525" i="21" s="1"/>
  <c r="N523" i="21" s="1"/>
  <c r="L528" i="21"/>
  <c r="O528" i="21" s="1"/>
  <c r="P527" i="21"/>
  <c r="O527" i="21"/>
  <c r="N526" i="21"/>
  <c r="M526" i="21"/>
  <c r="P526" i="21" s="1"/>
  <c r="M525" i="21"/>
  <c r="P525" i="21" s="1"/>
  <c r="P524" i="21"/>
  <c r="N524" i="21"/>
  <c r="M524" i="21"/>
  <c r="L524" i="21"/>
  <c r="K517" i="21"/>
  <c r="J517" i="21"/>
  <c r="K516" i="21"/>
  <c r="P514" i="21"/>
  <c r="O514" i="21"/>
  <c r="P513" i="21"/>
  <c r="O513" i="21"/>
  <c r="N512" i="21"/>
  <c r="M512" i="21"/>
  <c r="P512" i="21" s="1"/>
  <c r="L512" i="21"/>
  <c r="O512" i="21" s="1"/>
  <c r="P507" i="21"/>
  <c r="O507" i="21"/>
  <c r="N507" i="21"/>
  <c r="P506" i="21"/>
  <c r="O506" i="21"/>
  <c r="P505" i="21"/>
  <c r="O505" i="21"/>
  <c r="N505" i="21"/>
  <c r="M505" i="21"/>
  <c r="L505" i="21"/>
  <c r="P504" i="21"/>
  <c r="O504" i="21"/>
  <c r="N504" i="21"/>
  <c r="M504" i="21"/>
  <c r="L504" i="21"/>
  <c r="O503" i="21"/>
  <c r="N503" i="21"/>
  <c r="N502" i="21" s="1"/>
  <c r="M503" i="21"/>
  <c r="L503" i="21"/>
  <c r="L502" i="21"/>
  <c r="O502" i="21" s="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N477" i="21"/>
  <c r="M477" i="21"/>
  <c r="P477" i="21" s="1"/>
  <c r="N476" i="21"/>
  <c r="N472" i="21" s="1"/>
  <c r="N470" i="21" s="1"/>
  <c r="N473" i="21"/>
  <c r="L472" i="21"/>
  <c r="P471" i="21"/>
  <c r="O471" i="21"/>
  <c r="N469" i="21"/>
  <c r="N467" i="21" s="1"/>
  <c r="N468" i="21"/>
  <c r="M468" i="21"/>
  <c r="L468" i="21"/>
  <c r="J466" i="21"/>
  <c r="I466" i="21"/>
  <c r="K466" i="21" s="1"/>
  <c r="J465" i="21"/>
  <c r="I465" i="21"/>
  <c r="K465" i="21" s="1"/>
  <c r="I464" i="21"/>
  <c r="I463" i="21"/>
  <c r="I462" i="21"/>
  <c r="K462" i="21" s="1"/>
  <c r="I460" i="21"/>
  <c r="K458" i="21"/>
  <c r="P456" i="21"/>
  <c r="L456" i="21"/>
  <c r="L454" i="21" s="1"/>
  <c r="O454" i="21" s="1"/>
  <c r="P455" i="21"/>
  <c r="O455" i="21"/>
  <c r="P454" i="21"/>
  <c r="N454" i="21"/>
  <c r="M454" i="21"/>
  <c r="N453" i="21"/>
  <c r="N449" i="21"/>
  <c r="L449" i="21"/>
  <c r="M449" i="21" s="1"/>
  <c r="P448" i="21"/>
  <c r="O448" i="21"/>
  <c r="N446" i="21"/>
  <c r="O445" i="21"/>
  <c r="N445" i="21"/>
  <c r="N444" i="21" s="1"/>
  <c r="M445" i="21"/>
  <c r="P445" i="21" s="1"/>
  <c r="L445" i="21"/>
  <c r="J443" i="21"/>
  <c r="J442" i="21"/>
  <c r="I441" i="21"/>
  <c r="K441" i="21" s="1"/>
  <c r="I440" i="21"/>
  <c r="K440" i="21" s="1"/>
  <c r="I439" i="21"/>
  <c r="K439" i="21" s="1"/>
  <c r="I438" i="21"/>
  <c r="K438" i="21" s="1"/>
  <c r="I437" i="21"/>
  <c r="K437" i="21" s="1"/>
  <c r="I435" i="21"/>
  <c r="K435" i="21" s="1"/>
  <c r="J434" i="21"/>
  <c r="P431" i="21"/>
  <c r="L431" i="21"/>
  <c r="O431" i="21" s="1"/>
  <c r="P430" i="21"/>
  <c r="O430" i="21"/>
  <c r="P429" i="21"/>
  <c r="N429" i="21"/>
  <c r="M429" i="21"/>
  <c r="L429" i="21"/>
  <c r="O429" i="21" s="1"/>
  <c r="N428" i="21"/>
  <c r="N425" i="21"/>
  <c r="N424" i="21"/>
  <c r="L424" i="21"/>
  <c r="P423" i="21"/>
  <c r="O423" i="21"/>
  <c r="N422" i="21"/>
  <c r="N421" i="21"/>
  <c r="P420" i="21"/>
  <c r="N420" i="21"/>
  <c r="M420" i="21"/>
  <c r="L420" i="21"/>
  <c r="O420" i="21" s="1"/>
  <c r="J418" i="21"/>
  <c r="K413" i="21"/>
  <c r="K412" i="21"/>
  <c r="N410" i="21"/>
  <c r="N408" i="21" s="1"/>
  <c r="M410" i="21"/>
  <c r="M408" i="21" s="1"/>
  <c r="P408" i="21" s="1"/>
  <c r="L410" i="21"/>
  <c r="O410" i="21" s="1"/>
  <c r="P409" i="21"/>
  <c r="O409" i="21"/>
  <c r="N407" i="21"/>
  <c r="N405" i="21" s="1"/>
  <c r="M407" i="21"/>
  <c r="L407" i="21"/>
  <c r="P406" i="21"/>
  <c r="O406" i="21"/>
  <c r="P403" i="21"/>
  <c r="O403" i="21"/>
  <c r="N403" i="21"/>
  <c r="M403" i="21"/>
  <c r="L403" i="21"/>
  <c r="J401" i="21"/>
  <c r="I401" i="21"/>
  <c r="K401" i="21" s="1"/>
  <c r="K400" i="21"/>
  <c r="K399" i="21"/>
  <c r="N397" i="21"/>
  <c r="N395" i="21" s="1"/>
  <c r="M397" i="21"/>
  <c r="P397" i="21" s="1"/>
  <c r="L397" i="21"/>
  <c r="O397" i="21" s="1"/>
  <c r="P396" i="21"/>
  <c r="O396" i="21"/>
  <c r="N394" i="21"/>
  <c r="N392" i="21" s="1"/>
  <c r="M394" i="21"/>
  <c r="M392" i="21" s="1"/>
  <c r="P392" i="21" s="1"/>
  <c r="L394" i="21"/>
  <c r="O394" i="21" s="1"/>
  <c r="P393" i="21"/>
  <c r="O393" i="21"/>
  <c r="P390" i="21"/>
  <c r="N390" i="21"/>
  <c r="M390" i="21"/>
  <c r="L390" i="21"/>
  <c r="O390" i="21" s="1"/>
  <c r="K388" i="21"/>
  <c r="J388" i="21"/>
  <c r="I388" i="2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M351" i="21" s="1"/>
  <c r="L353" i="21"/>
  <c r="P352" i="21"/>
  <c r="O352" i="21"/>
  <c r="N350" i="21"/>
  <c r="N348" i="21" s="1"/>
  <c r="M350" i="21"/>
  <c r="M348" i="21" s="1"/>
  <c r="L350" i="21"/>
  <c r="L348" i="21" s="1"/>
  <c r="P349" i="21"/>
  <c r="O349" i="21"/>
  <c r="P346" i="21"/>
  <c r="N346" i="21"/>
  <c r="M346" i="21"/>
  <c r="L346" i="21"/>
  <c r="O346" i="21" s="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O336" i="21" s="1"/>
  <c r="P335" i="21"/>
  <c r="O335" i="21"/>
  <c r="N333" i="21"/>
  <c r="M333" i="21"/>
  <c r="L333" i="21"/>
  <c r="L331" i="21" s="1"/>
  <c r="P332" i="21"/>
  <c r="O332" i="21"/>
  <c r="P329" i="21"/>
  <c r="N329" i="21"/>
  <c r="M329" i="21"/>
  <c r="L329" i="21"/>
  <c r="O329" i="21" s="1"/>
  <c r="I327" i="21"/>
  <c r="I325" i="21"/>
  <c r="K325" i="21" s="1"/>
  <c r="N323" i="21"/>
  <c r="N321" i="21" s="1"/>
  <c r="M323" i="21"/>
  <c r="P323" i="21" s="1"/>
  <c r="L323" i="21"/>
  <c r="O323" i="21" s="1"/>
  <c r="P322" i="21"/>
  <c r="O322" i="21"/>
  <c r="N320" i="21"/>
  <c r="M320" i="21"/>
  <c r="P320" i="21" s="1"/>
  <c r="L320" i="21"/>
  <c r="O320" i="21" s="1"/>
  <c r="P319" i="21"/>
  <c r="O319" i="21"/>
  <c r="P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P306" i="21" s="1"/>
  <c r="L306" i="21"/>
  <c r="P305" i="21"/>
  <c r="O305" i="21"/>
  <c r="N303" i="21"/>
  <c r="M303" i="21"/>
  <c r="L303" i="21"/>
  <c r="P302" i="21"/>
  <c r="O302" i="21"/>
  <c r="N299" i="21"/>
  <c r="M299" i="21"/>
  <c r="P299" i="21" s="1"/>
  <c r="L299" i="21"/>
  <c r="O299" i="21" s="1"/>
  <c r="J297" i="21"/>
  <c r="I294" i="21"/>
  <c r="K294" i="21" s="1"/>
  <c r="I293" i="21"/>
  <c r="K293" i="21" s="1"/>
  <c r="I291" i="21"/>
  <c r="K291" i="21" s="1"/>
  <c r="I290" i="21"/>
  <c r="K290" i="21" s="1"/>
  <c r="I288" i="21"/>
  <c r="I275" i="21" s="1"/>
  <c r="I287" i="21"/>
  <c r="K287" i="21" s="1"/>
  <c r="N285" i="21"/>
  <c r="N283" i="21" s="1"/>
  <c r="M285" i="21"/>
  <c r="P285" i="21" s="1"/>
  <c r="L285" i="21"/>
  <c r="L283" i="21" s="1"/>
  <c r="O283" i="21" s="1"/>
  <c r="P284" i="21"/>
  <c r="O284" i="21"/>
  <c r="N282" i="21"/>
  <c r="N280" i="21" s="1"/>
  <c r="M282" i="21"/>
  <c r="L282" i="21"/>
  <c r="L280" i="21" s="1"/>
  <c r="P281" i="21"/>
  <c r="O281" i="21"/>
  <c r="O278" i="21"/>
  <c r="N278" i="21"/>
  <c r="M278" i="21"/>
  <c r="P278" i="21" s="1"/>
  <c r="L278" i="21"/>
  <c r="J276" i="21"/>
  <c r="I271" i="21"/>
  <c r="K271" i="21" s="1"/>
  <c r="N269" i="21"/>
  <c r="N267" i="21" s="1"/>
  <c r="M269" i="21"/>
  <c r="P269" i="21" s="1"/>
  <c r="L269" i="21"/>
  <c r="O269" i="21" s="1"/>
  <c r="P268" i="21"/>
  <c r="O268" i="21"/>
  <c r="N266" i="21"/>
  <c r="M266" i="21"/>
  <c r="L266" i="21"/>
  <c r="L264" i="21" s="1"/>
  <c r="P265" i="21"/>
  <c r="O265" i="21"/>
  <c r="P262" i="21"/>
  <c r="N262" i="21"/>
  <c r="M262" i="21"/>
  <c r="L262" i="21"/>
  <c r="O262" i="21" s="1"/>
  <c r="J260" i="21"/>
  <c r="K258" i="21"/>
  <c r="K257" i="21"/>
  <c r="I255" i="21"/>
  <c r="I248" i="21" s="1"/>
  <c r="K248" i="21" s="1"/>
  <c r="L253" i="21"/>
  <c r="L252" i="21"/>
  <c r="L251" i="21"/>
  <c r="L250" i="21"/>
  <c r="P249" i="21"/>
  <c r="N249" i="21"/>
  <c r="J248" i="21"/>
  <c r="K247" i="21"/>
  <c r="K246" i="21"/>
  <c r="I244" i="21"/>
  <c r="I237" i="21" s="1"/>
  <c r="K237" i="21" s="1"/>
  <c r="L242" i="21"/>
  <c r="L241" i="21"/>
  <c r="L240" i="21"/>
  <c r="L239" i="21"/>
  <c r="P238" i="21"/>
  <c r="N238" i="21"/>
  <c r="J237" i="21"/>
  <c r="J236" i="21"/>
  <c r="I236" i="21"/>
  <c r="K236" i="21" s="1"/>
  <c r="J235" i="21"/>
  <c r="I235" i="21"/>
  <c r="K235" i="21" s="1"/>
  <c r="J233" i="21"/>
  <c r="N231" i="21"/>
  <c r="N230" i="21"/>
  <c r="N229" i="21"/>
  <c r="N228" i="21"/>
  <c r="N227" i="21"/>
  <c r="J226" i="21"/>
  <c r="J180" i="21" s="1"/>
  <c r="I225" i="21"/>
  <c r="K225" i="21" s="1"/>
  <c r="I224" i="21"/>
  <c r="K224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L202" i="21"/>
  <c r="L201" i="21"/>
  <c r="L200" i="21"/>
  <c r="L199" i="21"/>
  <c r="P198" i="21"/>
  <c r="N198" i="21"/>
  <c r="J197" i="21"/>
  <c r="J195" i="21"/>
  <c r="J194" i="21"/>
  <c r="I193" i="21"/>
  <c r="K193" i="21" s="1"/>
  <c r="P191" i="21"/>
  <c r="L191" i="21"/>
  <c r="O191" i="21" s="1"/>
  <c r="J190" i="21"/>
  <c r="N189" i="21"/>
  <c r="N187" i="21" s="1"/>
  <c r="M189" i="21"/>
  <c r="P189" i="21" s="1"/>
  <c r="L189" i="21"/>
  <c r="O189" i="21" s="1"/>
  <c r="P188" i="21"/>
  <c r="O188" i="21"/>
  <c r="N186" i="21"/>
  <c r="N184" i="21" s="1"/>
  <c r="M186" i="21"/>
  <c r="L186" i="21"/>
  <c r="P185" i="21"/>
  <c r="O185" i="21"/>
  <c r="P182" i="21"/>
  <c r="O182" i="21"/>
  <c r="N182" i="21"/>
  <c r="M182" i="21"/>
  <c r="L182" i="21"/>
  <c r="J177" i="21"/>
  <c r="J164" i="21" s="1"/>
  <c r="I176" i="21"/>
  <c r="J174" i="21"/>
  <c r="N173" i="21"/>
  <c r="N171" i="21" s="1"/>
  <c r="M173" i="21"/>
  <c r="P173" i="21" s="1"/>
  <c r="L173" i="21"/>
  <c r="O173" i="21" s="1"/>
  <c r="P172" i="21"/>
  <c r="O172" i="21"/>
  <c r="N170" i="21"/>
  <c r="N168" i="21" s="1"/>
  <c r="M170" i="21"/>
  <c r="L170" i="21"/>
  <c r="P169" i="21"/>
  <c r="O169" i="21"/>
  <c r="O166" i="21"/>
  <c r="N166" i="21"/>
  <c r="M166" i="21"/>
  <c r="L166" i="21"/>
  <c r="I159" i="21"/>
  <c r="K159" i="21" s="1"/>
  <c r="N157" i="21"/>
  <c r="N155" i="21" s="1"/>
  <c r="M157" i="21"/>
  <c r="P157" i="21" s="1"/>
  <c r="L157" i="21"/>
  <c r="L155" i="21" s="1"/>
  <c r="O155" i="21" s="1"/>
  <c r="P156" i="21"/>
  <c r="O156" i="21"/>
  <c r="N154" i="21"/>
  <c r="N152" i="21" s="1"/>
  <c r="M154" i="21"/>
  <c r="M152" i="21" s="1"/>
  <c r="L154" i="21"/>
  <c r="L152" i="21" s="1"/>
  <c r="P153" i="21"/>
  <c r="O153" i="21"/>
  <c r="N150" i="21"/>
  <c r="M150" i="21"/>
  <c r="L150" i="21"/>
  <c r="J148" i="21"/>
  <c r="I146" i="21"/>
  <c r="I130" i="21" s="1"/>
  <c r="K130" i="21" s="1"/>
  <c r="I145" i="21"/>
  <c r="I144" i="21"/>
  <c r="K144" i="21" s="1"/>
  <c r="N140" i="21"/>
  <c r="N138" i="21" s="1"/>
  <c r="M140" i="21"/>
  <c r="P140" i="21" s="1"/>
  <c r="L140" i="21"/>
  <c r="O140" i="21" s="1"/>
  <c r="P139" i="21"/>
  <c r="O139" i="21"/>
  <c r="N137" i="21"/>
  <c r="M137" i="21"/>
  <c r="P137" i="21" s="1"/>
  <c r="L137" i="21"/>
  <c r="O137" i="21" s="1"/>
  <c r="P136" i="21"/>
  <c r="O136" i="21"/>
  <c r="P133" i="21"/>
  <c r="N133" i="21"/>
  <c r="M133" i="21"/>
  <c r="L133" i="21"/>
  <c r="J130" i="21"/>
  <c r="N127" i="21"/>
  <c r="N125" i="21" s="1"/>
  <c r="M127" i="21"/>
  <c r="L127" i="21"/>
  <c r="L125" i="21" s="1"/>
  <c r="O125" i="21" s="1"/>
  <c r="P126" i="21"/>
  <c r="O126" i="21"/>
  <c r="N124" i="21"/>
  <c r="N122" i="21" s="1"/>
  <c r="M124" i="21"/>
  <c r="P124" i="21" s="1"/>
  <c r="L124" i="21"/>
  <c r="P123" i="21"/>
  <c r="O123" i="21"/>
  <c r="O120" i="21"/>
  <c r="N120" i="21"/>
  <c r="M120" i="21"/>
  <c r="P120" i="21" s="1"/>
  <c r="L120" i="21"/>
  <c r="J118" i="21"/>
  <c r="K118" i="21" s="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J99" i="21"/>
  <c r="I99" i="21"/>
  <c r="J98" i="21"/>
  <c r="J86" i="21" s="1"/>
  <c r="I98" i="21"/>
  <c r="I86" i="21" s="1"/>
  <c r="N96" i="21"/>
  <c r="N94" i="21" s="1"/>
  <c r="M96" i="21"/>
  <c r="P96" i="21" s="1"/>
  <c r="L96" i="21"/>
  <c r="L94" i="21" s="1"/>
  <c r="O94" i="21" s="1"/>
  <c r="P95" i="21"/>
  <c r="O95" i="21"/>
  <c r="N93" i="21"/>
  <c r="N91" i="21" s="1"/>
  <c r="M93" i="21"/>
  <c r="M91" i="21" s="1"/>
  <c r="L93" i="21"/>
  <c r="L91" i="21" s="1"/>
  <c r="P92" i="21"/>
  <c r="O92" i="21"/>
  <c r="N89" i="21"/>
  <c r="M89" i="21"/>
  <c r="P89" i="21" s="1"/>
  <c r="L89" i="21"/>
  <c r="O89" i="21" s="1"/>
  <c r="J87" i="2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I78" i="21"/>
  <c r="K78" i="21" s="1"/>
  <c r="J77" i="21"/>
  <c r="J76" i="21"/>
  <c r="J64" i="21" s="1"/>
  <c r="N74" i="21"/>
  <c r="N72" i="21" s="1"/>
  <c r="M74" i="21"/>
  <c r="P74" i="21" s="1"/>
  <c r="L74" i="21"/>
  <c r="O74" i="21" s="1"/>
  <c r="P73" i="21"/>
  <c r="O73" i="21"/>
  <c r="N71" i="21"/>
  <c r="M71" i="21"/>
  <c r="M69" i="21" s="1"/>
  <c r="L71" i="21"/>
  <c r="P70" i="21"/>
  <c r="O70" i="21"/>
  <c r="P67" i="21"/>
  <c r="N67" i="21"/>
  <c r="M67" i="21"/>
  <c r="L67" i="21"/>
  <c r="O67" i="21" s="1"/>
  <c r="J65" i="21"/>
  <c r="N61" i="21"/>
  <c r="N59" i="21" s="1"/>
  <c r="M61" i="21"/>
  <c r="M59" i="21" s="1"/>
  <c r="L61" i="21"/>
  <c r="P60" i="21"/>
  <c r="O60" i="21"/>
  <c r="N58" i="21"/>
  <c r="N56" i="21" s="1"/>
  <c r="M58" i="21"/>
  <c r="L58" i="21"/>
  <c r="P57" i="21"/>
  <c r="O57" i="21"/>
  <c r="O54" i="21"/>
  <c r="N54" i="21"/>
  <c r="M54" i="21"/>
  <c r="P54" i="21" s="1"/>
  <c r="L54" i="21"/>
  <c r="N49" i="21"/>
  <c r="N47" i="21" s="1"/>
  <c r="M49" i="21"/>
  <c r="P49" i="21" s="1"/>
  <c r="L49" i="21"/>
  <c r="O49" i="21" s="1"/>
  <c r="P48" i="21"/>
  <c r="O48" i="21"/>
  <c r="N46" i="21"/>
  <c r="M46" i="21"/>
  <c r="M44" i="21" s="1"/>
  <c r="L46" i="21"/>
  <c r="P45" i="21"/>
  <c r="O45" i="21"/>
  <c r="N42" i="21"/>
  <c r="M42" i="21"/>
  <c r="L42" i="21"/>
  <c r="O42" i="21" s="1"/>
  <c r="P36" i="21"/>
  <c r="N36" i="21"/>
  <c r="M36" i="21"/>
  <c r="O35" i="21"/>
  <c r="N35" i="21"/>
  <c r="N34" i="21" s="1"/>
  <c r="M35" i="21"/>
  <c r="P35" i="21" s="1"/>
  <c r="L35" i="21"/>
  <c r="N33" i="21"/>
  <c r="P32" i="21"/>
  <c r="O32" i="21"/>
  <c r="N32" i="21"/>
  <c r="M32" i="21"/>
  <c r="L32" i="21"/>
  <c r="N31" i="21"/>
  <c r="N30" i="21"/>
  <c r="M29" i="21"/>
  <c r="P29" i="21" s="1"/>
  <c r="L29" i="21"/>
  <c r="O29" i="21" s="1"/>
  <c r="P25" i="21"/>
  <c r="N25" i="21"/>
  <c r="M25" i="21"/>
  <c r="L25" i="21"/>
  <c r="N22" i="21"/>
  <c r="M22" i="21"/>
  <c r="M12" i="21" s="1"/>
  <c r="L22" i="21"/>
  <c r="L12" i="21" s="1"/>
  <c r="N15" i="21"/>
  <c r="J828" i="20"/>
  <c r="I828" i="20"/>
  <c r="J827" i="20"/>
  <c r="I827" i="20"/>
  <c r="J826" i="20"/>
  <c r="I826" i="20"/>
  <c r="J825" i="20"/>
  <c r="I825" i="20"/>
  <c r="J824" i="20"/>
  <c r="J823" i="20"/>
  <c r="J822" i="20"/>
  <c r="I822" i="20"/>
  <c r="J821" i="20"/>
  <c r="I821" i="20"/>
  <c r="H820" i="20"/>
  <c r="P817" i="20"/>
  <c r="O817" i="20"/>
  <c r="P816" i="20"/>
  <c r="O816" i="20"/>
  <c r="O815" i="20"/>
  <c r="N815" i="20"/>
  <c r="M815" i="20"/>
  <c r="P815" i="20" s="1"/>
  <c r="L815" i="20"/>
  <c r="P810" i="20"/>
  <c r="O810" i="20"/>
  <c r="N810" i="20"/>
  <c r="P809" i="20"/>
  <c r="O809" i="20"/>
  <c r="M808" i="20"/>
  <c r="P808" i="20" s="1"/>
  <c r="L808" i="20"/>
  <c r="O808" i="20" s="1"/>
  <c r="P807" i="20"/>
  <c r="M807" i="20"/>
  <c r="L807" i="20"/>
  <c r="O807" i="20" s="1"/>
  <c r="P806" i="20"/>
  <c r="O806" i="20"/>
  <c r="N806" i="20"/>
  <c r="M806" i="20"/>
  <c r="L806" i="20"/>
  <c r="P805" i="20"/>
  <c r="M805" i="20"/>
  <c r="K804" i="20"/>
  <c r="J804" i="20"/>
  <c r="K802" i="20"/>
  <c r="J801" i="20"/>
  <c r="J800" i="20"/>
  <c r="J785" i="20" s="1"/>
  <c r="I800" i="20"/>
  <c r="I785" i="20" s="1"/>
  <c r="K785" i="20" s="1"/>
  <c r="P798" i="20"/>
  <c r="O798" i="20"/>
  <c r="P797" i="20"/>
  <c r="O797" i="20"/>
  <c r="N796" i="20"/>
  <c r="M796" i="20"/>
  <c r="P796" i="20" s="1"/>
  <c r="L796" i="20"/>
  <c r="O796" i="20" s="1"/>
  <c r="P791" i="20"/>
  <c r="N791" i="20"/>
  <c r="N788" i="20" s="1"/>
  <c r="L791" i="20"/>
  <c r="P790" i="20"/>
  <c r="O790" i="20"/>
  <c r="N789" i="20"/>
  <c r="M789" i="20"/>
  <c r="P789" i="20" s="1"/>
  <c r="P788" i="20"/>
  <c r="M788" i="20"/>
  <c r="P787" i="20"/>
  <c r="O787" i="20"/>
  <c r="N787" i="20"/>
  <c r="M787" i="20"/>
  <c r="L787" i="20"/>
  <c r="P786" i="20"/>
  <c r="M786" i="20"/>
  <c r="P782" i="20"/>
  <c r="O782" i="20"/>
  <c r="P781" i="20"/>
  <c r="O781" i="20"/>
  <c r="P780" i="20"/>
  <c r="O780" i="20"/>
  <c r="N780" i="20"/>
  <c r="M780" i="20"/>
  <c r="L780" i="20"/>
  <c r="P775" i="20"/>
  <c r="O775" i="20"/>
  <c r="N775" i="20"/>
  <c r="N772" i="20" s="1"/>
  <c r="N770" i="20" s="1"/>
  <c r="P774" i="20"/>
  <c r="O774" i="20"/>
  <c r="N773" i="20"/>
  <c r="M773" i="20"/>
  <c r="P773" i="20" s="1"/>
  <c r="L773" i="20"/>
  <c r="O773" i="20" s="1"/>
  <c r="M772" i="20"/>
  <c r="P772" i="20" s="1"/>
  <c r="L772" i="20"/>
  <c r="O772" i="20" s="1"/>
  <c r="P771" i="20"/>
  <c r="N771" i="20"/>
  <c r="M771" i="20"/>
  <c r="M770" i="20" s="1"/>
  <c r="P770" i="20" s="1"/>
  <c r="L771" i="20"/>
  <c r="K769" i="20"/>
  <c r="J769" i="20"/>
  <c r="P766" i="20"/>
  <c r="O766" i="20"/>
  <c r="P765" i="20"/>
  <c r="O765" i="20"/>
  <c r="P764" i="20"/>
  <c r="O764" i="20"/>
  <c r="N764" i="20"/>
  <c r="M764" i="20"/>
  <c r="L764" i="20"/>
  <c r="P759" i="20"/>
  <c r="O759" i="20"/>
  <c r="N759" i="20"/>
  <c r="N756" i="20" s="1"/>
  <c r="N754" i="20" s="1"/>
  <c r="P758" i="20"/>
  <c r="O758" i="20"/>
  <c r="N757" i="20"/>
  <c r="M757" i="20"/>
  <c r="P757" i="20" s="1"/>
  <c r="L757" i="20"/>
  <c r="O757" i="20" s="1"/>
  <c r="M756" i="20"/>
  <c r="P756" i="20" s="1"/>
  <c r="L756" i="20"/>
  <c r="O756" i="20" s="1"/>
  <c r="P755" i="20"/>
  <c r="N755" i="20"/>
  <c r="M755" i="20"/>
  <c r="M754" i="20" s="1"/>
  <c r="P754" i="20" s="1"/>
  <c r="L755" i="20"/>
  <c r="K753" i="20"/>
  <c r="J753" i="20"/>
  <c r="P749" i="20"/>
  <c r="O749" i="20"/>
  <c r="P748" i="20"/>
  <c r="O748" i="20"/>
  <c r="P747" i="20"/>
  <c r="O747" i="20"/>
  <c r="N747" i="20"/>
  <c r="M747" i="20"/>
  <c r="L747" i="20"/>
  <c r="P742" i="20"/>
  <c r="O742" i="20"/>
  <c r="N742" i="20"/>
  <c r="N739" i="20" s="1"/>
  <c r="N737" i="20" s="1"/>
  <c r="P741" i="20"/>
  <c r="O741" i="20"/>
  <c r="N740" i="20"/>
  <c r="M740" i="20"/>
  <c r="P740" i="20" s="1"/>
  <c r="L740" i="20"/>
  <c r="O740" i="20" s="1"/>
  <c r="M739" i="20"/>
  <c r="L739" i="20"/>
  <c r="O739" i="20" s="1"/>
  <c r="P738" i="20"/>
  <c r="N738" i="20"/>
  <c r="M738" i="20"/>
  <c r="L738" i="20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P695" i="20"/>
  <c r="O695" i="20"/>
  <c r="N695" i="20"/>
  <c r="M695" i="20"/>
  <c r="L695" i="20"/>
  <c r="N690" i="20"/>
  <c r="N687" i="20" s="1"/>
  <c r="N685" i="20" s="1"/>
  <c r="L690" i="20"/>
  <c r="L687" i="20" s="1"/>
  <c r="N688" i="20"/>
  <c r="P686" i="20"/>
  <c r="N686" i="20"/>
  <c r="M686" i="20"/>
  <c r="L686" i="20"/>
  <c r="J679" i="20"/>
  <c r="J678" i="20" s="1"/>
  <c r="I678" i="20"/>
  <c r="K678" i="20" s="1"/>
  <c r="J675" i="20"/>
  <c r="I671" i="20"/>
  <c r="K671" i="20" s="1"/>
  <c r="I670" i="20"/>
  <c r="K670" i="20" s="1"/>
  <c r="J669" i="20"/>
  <c r="J654" i="20" s="1"/>
  <c r="I669" i="20"/>
  <c r="K673" i="20" s="1"/>
  <c r="P667" i="20"/>
  <c r="O667" i="20"/>
  <c r="P666" i="20"/>
  <c r="O666" i="20"/>
  <c r="P665" i="20"/>
  <c r="N665" i="20"/>
  <c r="M665" i="20"/>
  <c r="L665" i="20"/>
  <c r="O665" i="20" s="1"/>
  <c r="N660" i="20"/>
  <c r="L660" i="20"/>
  <c r="L658" i="20" s="1"/>
  <c r="P659" i="20"/>
  <c r="O659" i="20"/>
  <c r="N657" i="20"/>
  <c r="P656" i="20"/>
  <c r="O656" i="20"/>
  <c r="N656" i="20"/>
  <c r="M656" i="20"/>
  <c r="L656" i="20"/>
  <c r="K652" i="20"/>
  <c r="J652" i="20"/>
  <c r="J651" i="20"/>
  <c r="J628" i="20" s="1"/>
  <c r="I651" i="20"/>
  <c r="K651" i="20" s="1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N639" i="20"/>
  <c r="M639" i="20"/>
  <c r="P639" i="20" s="1"/>
  <c r="P634" i="20"/>
  <c r="N634" i="20"/>
  <c r="N631" i="20" s="1"/>
  <c r="N629" i="20" s="1"/>
  <c r="L634" i="20"/>
  <c r="O634" i="20" s="1"/>
  <c r="P633" i="20"/>
  <c r="O633" i="20"/>
  <c r="N632" i="20"/>
  <c r="M632" i="20"/>
  <c r="P632" i="20" s="1"/>
  <c r="M631" i="20"/>
  <c r="P630" i="20"/>
  <c r="N630" i="20"/>
  <c r="M630" i="20"/>
  <c r="L630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594" i="20" s="1"/>
  <c r="J603" i="20"/>
  <c r="J596" i="20"/>
  <c r="J595" i="20"/>
  <c r="J593" i="20" s="1"/>
  <c r="J592" i="20" s="1"/>
  <c r="I594" i="20"/>
  <c r="K594" i="20" s="1"/>
  <c r="I593" i="20"/>
  <c r="J583" i="20"/>
  <c r="J582" i="20"/>
  <c r="J577" i="20"/>
  <c r="I577" i="20"/>
  <c r="K577" i="20" s="1"/>
  <c r="J576" i="20"/>
  <c r="I576" i="20"/>
  <c r="K576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J543" i="20" s="1"/>
  <c r="P557" i="20"/>
  <c r="L557" i="20"/>
  <c r="O557" i="20" s="1"/>
  <c r="P556" i="20"/>
  <c r="O556" i="20"/>
  <c r="P555" i="20"/>
  <c r="N555" i="20"/>
  <c r="M555" i="20"/>
  <c r="N549" i="20"/>
  <c r="L549" i="20"/>
  <c r="M549" i="20" s="1"/>
  <c r="P548" i="20"/>
  <c r="O548" i="20"/>
  <c r="N546" i="20"/>
  <c r="N544" i="20" s="1"/>
  <c r="P545" i="20"/>
  <c r="O545" i="20"/>
  <c r="N545" i="20"/>
  <c r="M545" i="20"/>
  <c r="L545" i="20"/>
  <c r="I542" i="20"/>
  <c r="K542" i="20" s="1"/>
  <c r="I541" i="20"/>
  <c r="K541" i="20" s="1"/>
  <c r="I540" i="20"/>
  <c r="K540" i="20" s="1"/>
  <c r="I539" i="20"/>
  <c r="K539" i="20" s="1"/>
  <c r="I538" i="20"/>
  <c r="I537" i="20"/>
  <c r="I522" i="20" s="1"/>
  <c r="K522" i="20" s="1"/>
  <c r="P535" i="20"/>
  <c r="L535" i="20"/>
  <c r="L533" i="20" s="1"/>
  <c r="O533" i="20" s="1"/>
  <c r="P534" i="20"/>
  <c r="O534" i="20"/>
  <c r="P533" i="20"/>
  <c r="N533" i="20"/>
  <c r="M533" i="20"/>
  <c r="P528" i="20"/>
  <c r="N528" i="20"/>
  <c r="N525" i="20" s="1"/>
  <c r="L528" i="20"/>
  <c r="O528" i="20" s="1"/>
  <c r="P527" i="20"/>
  <c r="O527" i="20"/>
  <c r="P526" i="20"/>
  <c r="N526" i="20"/>
  <c r="M526" i="20"/>
  <c r="M525" i="20"/>
  <c r="P525" i="20" s="1"/>
  <c r="N524" i="20"/>
  <c r="N523" i="20" s="1"/>
  <c r="M524" i="20"/>
  <c r="P524" i="20" s="1"/>
  <c r="L524" i="20"/>
  <c r="M523" i="20"/>
  <c r="P523" i="20" s="1"/>
  <c r="K517" i="20"/>
  <c r="J517" i="20"/>
  <c r="J501" i="20" s="1"/>
  <c r="K516" i="20"/>
  <c r="P514" i="20"/>
  <c r="O514" i="20"/>
  <c r="P513" i="20"/>
  <c r="O513" i="20"/>
  <c r="P512" i="20"/>
  <c r="O512" i="20"/>
  <c r="N512" i="20"/>
  <c r="M512" i="20"/>
  <c r="L512" i="20"/>
  <c r="P507" i="20"/>
  <c r="O507" i="20"/>
  <c r="N507" i="20"/>
  <c r="N504" i="20" s="1"/>
  <c r="N502" i="20" s="1"/>
  <c r="P506" i="20"/>
  <c r="O506" i="20"/>
  <c r="N505" i="20"/>
  <c r="M505" i="20"/>
  <c r="P505" i="20" s="1"/>
  <c r="L505" i="20"/>
  <c r="O505" i="20" s="1"/>
  <c r="M504" i="20"/>
  <c r="L504" i="20"/>
  <c r="O504" i="20" s="1"/>
  <c r="P503" i="20"/>
  <c r="N503" i="20"/>
  <c r="M503" i="20"/>
  <c r="L503" i="20"/>
  <c r="K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P472" i="20"/>
  <c r="N472" i="20"/>
  <c r="N469" i="20" s="1"/>
  <c r="N467" i="20" s="1"/>
  <c r="L472" i="20"/>
  <c r="O472" i="20" s="1"/>
  <c r="P471" i="20"/>
  <c r="O471" i="20"/>
  <c r="N470" i="20"/>
  <c r="M470" i="20"/>
  <c r="P470" i="20" s="1"/>
  <c r="M469" i="20"/>
  <c r="P468" i="20"/>
  <c r="N468" i="20"/>
  <c r="M468" i="20"/>
  <c r="L468" i="20"/>
  <c r="J466" i="20"/>
  <c r="I466" i="20"/>
  <c r="K466" i="20" s="1"/>
  <c r="J465" i="20"/>
  <c r="I465" i="20"/>
  <c r="K465" i="20" s="1"/>
  <c r="I464" i="20"/>
  <c r="I463" i="20"/>
  <c r="I462" i="20"/>
  <c r="K462" i="20" s="1"/>
  <c r="I460" i="20"/>
  <c r="I442" i="20" s="1"/>
  <c r="K442" i="20" s="1"/>
  <c r="K458" i="20"/>
  <c r="P456" i="20"/>
  <c r="L456" i="20"/>
  <c r="O456" i="20" s="1"/>
  <c r="P455" i="20"/>
  <c r="O455" i="20"/>
  <c r="P454" i="20"/>
  <c r="N454" i="20"/>
  <c r="M454" i="20"/>
  <c r="P449" i="20"/>
  <c r="N449" i="20"/>
  <c r="L449" i="20"/>
  <c r="O449" i="20" s="1"/>
  <c r="P448" i="20"/>
  <c r="O448" i="20"/>
  <c r="N447" i="20"/>
  <c r="M447" i="20"/>
  <c r="P447" i="20" s="1"/>
  <c r="N446" i="20"/>
  <c r="N444" i="20" s="1"/>
  <c r="M446" i="20"/>
  <c r="P446" i="20" s="1"/>
  <c r="N445" i="20"/>
  <c r="M445" i="20"/>
  <c r="L445" i="20"/>
  <c r="O445" i="20" s="1"/>
  <c r="J443" i="20"/>
  <c r="J442" i="20"/>
  <c r="I441" i="20"/>
  <c r="K441" i="20" s="1"/>
  <c r="I440" i="20"/>
  <c r="K440" i="20" s="1"/>
  <c r="I439" i="20"/>
  <c r="K439" i="20" s="1"/>
  <c r="I438" i="20"/>
  <c r="K438" i="20" s="1"/>
  <c r="I437" i="20"/>
  <c r="K437" i="20" s="1"/>
  <c r="I435" i="20"/>
  <c r="I433" i="20" s="1"/>
  <c r="J434" i="20"/>
  <c r="P431" i="20"/>
  <c r="L431" i="20"/>
  <c r="P430" i="20"/>
  <c r="O430" i="20"/>
  <c r="N429" i="20"/>
  <c r="M429" i="20"/>
  <c r="P429" i="20" s="1"/>
  <c r="N424" i="20"/>
  <c r="N422" i="20" s="1"/>
  <c r="L424" i="20"/>
  <c r="P423" i="20"/>
  <c r="O423" i="20"/>
  <c r="N421" i="20"/>
  <c r="N420" i="20"/>
  <c r="N419" i="20" s="1"/>
  <c r="M420" i="20"/>
  <c r="P420" i="20" s="1"/>
  <c r="L420" i="20"/>
  <c r="O420" i="20" s="1"/>
  <c r="J418" i="20"/>
  <c r="K413" i="20"/>
  <c r="K412" i="20"/>
  <c r="N410" i="20"/>
  <c r="N408" i="20" s="1"/>
  <c r="M410" i="20"/>
  <c r="M408" i="20" s="1"/>
  <c r="P408" i="20" s="1"/>
  <c r="L410" i="20"/>
  <c r="L408" i="20" s="1"/>
  <c r="O408" i="20" s="1"/>
  <c r="P409" i="20"/>
  <c r="O409" i="20"/>
  <c r="N407" i="20"/>
  <c r="N405" i="20" s="1"/>
  <c r="M407" i="20"/>
  <c r="M405" i="20" s="1"/>
  <c r="P405" i="20" s="1"/>
  <c r="L407" i="20"/>
  <c r="L405" i="20" s="1"/>
  <c r="O405" i="20" s="1"/>
  <c r="P406" i="20"/>
  <c r="O406" i="20"/>
  <c r="P403" i="20"/>
  <c r="O403" i="20"/>
  <c r="N403" i="20"/>
  <c r="M403" i="20"/>
  <c r="L403" i="20"/>
  <c r="K401" i="20"/>
  <c r="J401" i="20"/>
  <c r="I401" i="20"/>
  <c r="K400" i="20"/>
  <c r="K399" i="20"/>
  <c r="N397" i="20"/>
  <c r="N395" i="20" s="1"/>
  <c r="M397" i="20"/>
  <c r="P397" i="20" s="1"/>
  <c r="L397" i="20"/>
  <c r="L395" i="20" s="1"/>
  <c r="O395" i="20" s="1"/>
  <c r="P396" i="20"/>
  <c r="O396" i="20"/>
  <c r="N394" i="20"/>
  <c r="N392" i="20" s="1"/>
  <c r="M394" i="20"/>
  <c r="P394" i="20" s="1"/>
  <c r="L394" i="20"/>
  <c r="L392" i="20" s="1"/>
  <c r="O392" i="20" s="1"/>
  <c r="P393" i="20"/>
  <c r="O393" i="20"/>
  <c r="N390" i="20"/>
  <c r="M390" i="20"/>
  <c r="P390" i="20" s="1"/>
  <c r="L390" i="20"/>
  <c r="O390" i="20" s="1"/>
  <c r="K388" i="20"/>
  <c r="J388" i="20"/>
  <c r="I388" i="20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N351" i="20" s="1"/>
  <c r="M353" i="20"/>
  <c r="L353" i="20"/>
  <c r="L351" i="20" s="1"/>
  <c r="P352" i="20"/>
  <c r="O352" i="20"/>
  <c r="N350" i="20"/>
  <c r="M350" i="20"/>
  <c r="L350" i="20"/>
  <c r="L348" i="20" s="1"/>
  <c r="P349" i="20"/>
  <c r="O349" i="20"/>
  <c r="N346" i="20"/>
  <c r="M346" i="20"/>
  <c r="P346" i="20" s="1"/>
  <c r="L346" i="20"/>
  <c r="O346" i="20" s="1"/>
  <c r="J343" i="20"/>
  <c r="J342" i="20"/>
  <c r="J341" i="20"/>
  <c r="J340" i="20"/>
  <c r="I340" i="20"/>
  <c r="J338" i="20"/>
  <c r="I338" i="20"/>
  <c r="N336" i="20"/>
  <c r="M336" i="20"/>
  <c r="P336" i="20" s="1"/>
  <c r="L336" i="20"/>
  <c r="L334" i="20" s="1"/>
  <c r="O334" i="20" s="1"/>
  <c r="P335" i="20"/>
  <c r="O335" i="20"/>
  <c r="N333" i="20"/>
  <c r="N331" i="20" s="1"/>
  <c r="M333" i="20"/>
  <c r="M331" i="20" s="1"/>
  <c r="L333" i="20"/>
  <c r="P332" i="20"/>
  <c r="O332" i="20"/>
  <c r="N329" i="20"/>
  <c r="M329" i="20"/>
  <c r="P329" i="20" s="1"/>
  <c r="L329" i="20"/>
  <c r="O329" i="20" s="1"/>
  <c r="I327" i="20"/>
  <c r="I325" i="20"/>
  <c r="K325" i="20" s="1"/>
  <c r="N323" i="20"/>
  <c r="M323" i="20"/>
  <c r="P323" i="20" s="1"/>
  <c r="L323" i="20"/>
  <c r="O323" i="20" s="1"/>
  <c r="P322" i="20"/>
  <c r="O322" i="20"/>
  <c r="N320" i="20"/>
  <c r="N318" i="20" s="1"/>
  <c r="M320" i="20"/>
  <c r="M318" i="20" s="1"/>
  <c r="P318" i="20" s="1"/>
  <c r="L320" i="20"/>
  <c r="O320" i="20" s="1"/>
  <c r="P319" i="20"/>
  <c r="O319" i="20"/>
  <c r="P316" i="20"/>
  <c r="O316" i="20"/>
  <c r="N316" i="20"/>
  <c r="M316" i="20"/>
  <c r="L316" i="20"/>
  <c r="J314" i="20"/>
  <c r="I312" i="20"/>
  <c r="K312" i="20" s="1"/>
  <c r="I311" i="20"/>
  <c r="K311" i="20" s="1"/>
  <c r="I310" i="20"/>
  <c r="K310" i="20" s="1"/>
  <c r="I309" i="20"/>
  <c r="N306" i="20"/>
  <c r="N304" i="20" s="1"/>
  <c r="M306" i="20"/>
  <c r="M304" i="20" s="1"/>
  <c r="P304" i="20" s="1"/>
  <c r="L306" i="20"/>
  <c r="P305" i="20"/>
  <c r="O305" i="20"/>
  <c r="N303" i="20"/>
  <c r="M303" i="20"/>
  <c r="L303" i="20"/>
  <c r="O303" i="20" s="1"/>
  <c r="P302" i="20"/>
  <c r="O302" i="20"/>
  <c r="O299" i="20"/>
  <c r="N299" i="20"/>
  <c r="M299" i="20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K287" i="20" s="1"/>
  <c r="N285" i="20"/>
  <c r="N283" i="20" s="1"/>
  <c r="M285" i="20"/>
  <c r="P285" i="20" s="1"/>
  <c r="L285" i="20"/>
  <c r="O285" i="20" s="1"/>
  <c r="P284" i="20"/>
  <c r="O284" i="20"/>
  <c r="N282" i="20"/>
  <c r="N280" i="20" s="1"/>
  <c r="M282" i="20"/>
  <c r="P282" i="20" s="1"/>
  <c r="L282" i="20"/>
  <c r="O282" i="20" s="1"/>
  <c r="P281" i="20"/>
  <c r="O281" i="20"/>
  <c r="N278" i="20"/>
  <c r="M278" i="20"/>
  <c r="P278" i="20" s="1"/>
  <c r="L278" i="20"/>
  <c r="O278" i="20" s="1"/>
  <c r="J276" i="20"/>
  <c r="I271" i="20"/>
  <c r="K271" i="20" s="1"/>
  <c r="N269" i="20"/>
  <c r="N267" i="20" s="1"/>
  <c r="M269" i="20"/>
  <c r="M267" i="20" s="1"/>
  <c r="P267" i="20" s="1"/>
  <c r="L269" i="20"/>
  <c r="O269" i="20" s="1"/>
  <c r="P268" i="20"/>
  <c r="O268" i="20"/>
  <c r="N266" i="20"/>
  <c r="N264" i="20" s="1"/>
  <c r="M266" i="20"/>
  <c r="M264" i="20" s="1"/>
  <c r="L266" i="20"/>
  <c r="L264" i="20" s="1"/>
  <c r="P265" i="20"/>
  <c r="O265" i="20"/>
  <c r="N262" i="20"/>
  <c r="M262" i="20"/>
  <c r="L262" i="20"/>
  <c r="J260" i="20"/>
  <c r="K258" i="20"/>
  <c r="K257" i="20"/>
  <c r="I255" i="20"/>
  <c r="K255" i="20" s="1"/>
  <c r="L253" i="20"/>
  <c r="L252" i="20"/>
  <c r="L251" i="20"/>
  <c r="L250" i="20"/>
  <c r="P249" i="20"/>
  <c r="N249" i="20"/>
  <c r="J248" i="20"/>
  <c r="K247" i="20"/>
  <c r="K246" i="20"/>
  <c r="I244" i="20"/>
  <c r="L242" i="20"/>
  <c r="L241" i="20"/>
  <c r="L240" i="20"/>
  <c r="L239" i="20"/>
  <c r="P238" i="20"/>
  <c r="N238" i="20"/>
  <c r="J237" i="20"/>
  <c r="K236" i="20"/>
  <c r="J236" i="20"/>
  <c r="I236" i="20"/>
  <c r="K235" i="20"/>
  <c r="J235" i="20"/>
  <c r="I235" i="20"/>
  <c r="J233" i="20"/>
  <c r="N231" i="20"/>
  <c r="N230" i="20"/>
  <c r="N229" i="20"/>
  <c r="N228" i="20"/>
  <c r="N227" i="20"/>
  <c r="J226" i="20"/>
  <c r="J180" i="20" s="1"/>
  <c r="I225" i="20"/>
  <c r="I224" i="20"/>
  <c r="I216" i="20" s="1"/>
  <c r="I223" i="20"/>
  <c r="K223" i="20" s="1"/>
  <c r="L220" i="20"/>
  <c r="L219" i="20"/>
  <c r="L218" i="20"/>
  <c r="P217" i="20"/>
  <c r="N217" i="20"/>
  <c r="J216" i="20"/>
  <c r="I215" i="20"/>
  <c r="I214" i="20"/>
  <c r="K214" i="20" s="1"/>
  <c r="L212" i="20"/>
  <c r="L211" i="20"/>
  <c r="L210" i="20"/>
  <c r="P209" i="20"/>
  <c r="N209" i="20"/>
  <c r="J208" i="20"/>
  <c r="I204" i="20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N187" i="20" s="1"/>
  <c r="M189" i="20"/>
  <c r="P189" i="20" s="1"/>
  <c r="L189" i="20"/>
  <c r="L187" i="20" s="1"/>
  <c r="O187" i="20" s="1"/>
  <c r="P188" i="20"/>
  <c r="O188" i="20"/>
  <c r="N186" i="20"/>
  <c r="N184" i="20" s="1"/>
  <c r="M186" i="20"/>
  <c r="L186" i="20"/>
  <c r="L184" i="20" s="1"/>
  <c r="P185" i="20"/>
  <c r="O185" i="20"/>
  <c r="O182" i="20"/>
  <c r="N182" i="20"/>
  <c r="M182" i="20"/>
  <c r="P182" i="20" s="1"/>
  <c r="L182" i="20"/>
  <c r="J177" i="20"/>
  <c r="I176" i="20"/>
  <c r="I174" i="20" s="1"/>
  <c r="I164" i="20" s="1"/>
  <c r="J174" i="20"/>
  <c r="J164" i="20" s="1"/>
  <c r="N173" i="20"/>
  <c r="N171" i="20" s="1"/>
  <c r="M173" i="20"/>
  <c r="P173" i="20" s="1"/>
  <c r="L173" i="20"/>
  <c r="P172" i="20"/>
  <c r="O172" i="20"/>
  <c r="N170" i="20"/>
  <c r="M170" i="20"/>
  <c r="M168" i="20" s="1"/>
  <c r="L170" i="20"/>
  <c r="L168" i="20" s="1"/>
  <c r="P169" i="20"/>
  <c r="O169" i="20"/>
  <c r="N166" i="20"/>
  <c r="M166" i="20"/>
  <c r="P166" i="20" s="1"/>
  <c r="L166" i="20"/>
  <c r="I159" i="20"/>
  <c r="K159" i="20" s="1"/>
  <c r="N157" i="20"/>
  <c r="N155" i="20" s="1"/>
  <c r="M157" i="20"/>
  <c r="P157" i="20" s="1"/>
  <c r="L157" i="20"/>
  <c r="P156" i="20"/>
  <c r="O156" i="20"/>
  <c r="N154" i="20"/>
  <c r="N152" i="20" s="1"/>
  <c r="M154" i="20"/>
  <c r="P154" i="20" s="1"/>
  <c r="L154" i="20"/>
  <c r="O154" i="20" s="1"/>
  <c r="P153" i="20"/>
  <c r="O153" i="20"/>
  <c r="O150" i="20"/>
  <c r="N150" i="20"/>
  <c r="M150" i="20"/>
  <c r="P150" i="20" s="1"/>
  <c r="L150" i="20"/>
  <c r="J148" i="20"/>
  <c r="I146" i="20"/>
  <c r="K146" i="20" s="1"/>
  <c r="I145" i="20"/>
  <c r="K145" i="20" s="1"/>
  <c r="I144" i="20"/>
  <c r="K144" i="20" s="1"/>
  <c r="N140" i="20"/>
  <c r="N138" i="20" s="1"/>
  <c r="M140" i="20"/>
  <c r="P140" i="20" s="1"/>
  <c r="L140" i="20"/>
  <c r="O140" i="20" s="1"/>
  <c r="P139" i="20"/>
  <c r="O139" i="20"/>
  <c r="N137" i="20"/>
  <c r="N135" i="20" s="1"/>
  <c r="M137" i="20"/>
  <c r="P137" i="20" s="1"/>
  <c r="L137" i="20"/>
  <c r="P136" i="20"/>
  <c r="O136" i="20"/>
  <c r="N133" i="20"/>
  <c r="M133" i="20"/>
  <c r="P133" i="20" s="1"/>
  <c r="L133" i="20"/>
  <c r="O133" i="20" s="1"/>
  <c r="J130" i="20"/>
  <c r="N127" i="20"/>
  <c r="N125" i="20" s="1"/>
  <c r="M127" i="20"/>
  <c r="P127" i="20" s="1"/>
  <c r="L127" i="20"/>
  <c r="P126" i="20"/>
  <c r="O126" i="20"/>
  <c r="N124" i="20"/>
  <c r="M124" i="20"/>
  <c r="M122" i="20" s="1"/>
  <c r="P122" i="20" s="1"/>
  <c r="L124" i="20"/>
  <c r="O124" i="20" s="1"/>
  <c r="P123" i="20"/>
  <c r="O123" i="20"/>
  <c r="P120" i="20"/>
  <c r="O120" i="20"/>
  <c r="N120" i="20"/>
  <c r="M120" i="20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J99" i="20"/>
  <c r="J87" i="20" s="1"/>
  <c r="I99" i="20"/>
  <c r="I87" i="20" s="1"/>
  <c r="K87" i="20" s="1"/>
  <c r="J98" i="20"/>
  <c r="J86" i="20" s="1"/>
  <c r="I98" i="20"/>
  <c r="I86" i="20" s="1"/>
  <c r="K86" i="20" s="1"/>
  <c r="N96" i="20"/>
  <c r="M96" i="20"/>
  <c r="P96" i="20" s="1"/>
  <c r="L96" i="20"/>
  <c r="P95" i="20"/>
  <c r="O95" i="20"/>
  <c r="N93" i="20"/>
  <c r="N91" i="20" s="1"/>
  <c r="M93" i="20"/>
  <c r="L93" i="20"/>
  <c r="L91" i="20" s="1"/>
  <c r="P92" i="20"/>
  <c r="O92" i="20"/>
  <c r="N89" i="20"/>
  <c r="M89" i="20"/>
  <c r="P89" i="20" s="1"/>
  <c r="L89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J77" i="20"/>
  <c r="J76" i="20"/>
  <c r="N74" i="20"/>
  <c r="N72" i="20" s="1"/>
  <c r="M74" i="20"/>
  <c r="P74" i="20" s="1"/>
  <c r="L74" i="20"/>
  <c r="O74" i="20" s="1"/>
  <c r="P73" i="20"/>
  <c r="O73" i="20"/>
  <c r="N71" i="20"/>
  <c r="M71" i="20"/>
  <c r="P71" i="20" s="1"/>
  <c r="L71" i="20"/>
  <c r="O71" i="20" s="1"/>
  <c r="P70" i="20"/>
  <c r="O70" i="20"/>
  <c r="N67" i="20"/>
  <c r="M67" i="20"/>
  <c r="P67" i="20" s="1"/>
  <c r="L67" i="20"/>
  <c r="O67" i="20" s="1"/>
  <c r="J65" i="20"/>
  <c r="J64" i="20"/>
  <c r="N61" i="20"/>
  <c r="N59" i="20" s="1"/>
  <c r="M61" i="20"/>
  <c r="P61" i="20" s="1"/>
  <c r="L61" i="20"/>
  <c r="O61" i="20" s="1"/>
  <c r="P60" i="20"/>
  <c r="O60" i="20"/>
  <c r="N58" i="20"/>
  <c r="M58" i="20"/>
  <c r="M56" i="20" s="1"/>
  <c r="L58" i="20"/>
  <c r="P57" i="20"/>
  <c r="O57" i="20"/>
  <c r="P54" i="20"/>
  <c r="O54" i="20"/>
  <c r="N54" i="20"/>
  <c r="M54" i="20"/>
  <c r="L54" i="20"/>
  <c r="N49" i="20"/>
  <c r="M49" i="20"/>
  <c r="P49" i="20" s="1"/>
  <c r="L49" i="20"/>
  <c r="O49" i="20" s="1"/>
  <c r="P48" i="20"/>
  <c r="O48" i="20"/>
  <c r="N46" i="20"/>
  <c r="N44" i="20" s="1"/>
  <c r="M46" i="20"/>
  <c r="L46" i="20"/>
  <c r="L44" i="20" s="1"/>
  <c r="P45" i="20"/>
  <c r="O45" i="20"/>
  <c r="N42" i="20"/>
  <c r="M42" i="20"/>
  <c r="P42" i="20" s="1"/>
  <c r="L42" i="20"/>
  <c r="O42" i="20" s="1"/>
  <c r="N36" i="20"/>
  <c r="N34" i="20" s="1"/>
  <c r="M36" i="20"/>
  <c r="P36" i="20" s="1"/>
  <c r="P35" i="20"/>
  <c r="N35" i="20"/>
  <c r="M35" i="20"/>
  <c r="M34" i="20" s="1"/>
  <c r="P34" i="20" s="1"/>
  <c r="L35" i="20"/>
  <c r="O35" i="20" s="1"/>
  <c r="N33" i="20"/>
  <c r="O32" i="20"/>
  <c r="N32" i="20"/>
  <c r="M32" i="20"/>
  <c r="L32" i="20"/>
  <c r="N29" i="20"/>
  <c r="L29" i="20"/>
  <c r="O29" i="20" s="1"/>
  <c r="O25" i="20"/>
  <c r="N25" i="20"/>
  <c r="M25" i="20"/>
  <c r="M19" i="20" s="1"/>
  <c r="L25" i="20"/>
  <c r="P22" i="20"/>
  <c r="N22" i="20"/>
  <c r="N19" i="20" s="1"/>
  <c r="M22" i="20"/>
  <c r="L22" i="20"/>
  <c r="O22" i="20" s="1"/>
  <c r="N15" i="20"/>
  <c r="L15" i="20"/>
  <c r="O15" i="20" s="1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N815" i="19"/>
  <c r="M815" i="19"/>
  <c r="L815" i="19"/>
  <c r="O815" i="19" s="1"/>
  <c r="P810" i="19"/>
  <c r="O810" i="19"/>
  <c r="N810" i="19"/>
  <c r="N807" i="19" s="1"/>
  <c r="N805" i="19" s="1"/>
  <c r="P809" i="19"/>
  <c r="O809" i="19"/>
  <c r="N808" i="19"/>
  <c r="M808" i="19"/>
  <c r="P808" i="19" s="1"/>
  <c r="L808" i="19"/>
  <c r="O808" i="19" s="1"/>
  <c r="M807" i="19"/>
  <c r="L807" i="19"/>
  <c r="O807" i="19" s="1"/>
  <c r="N806" i="19"/>
  <c r="M806" i="19"/>
  <c r="P806" i="19" s="1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O796" i="19"/>
  <c r="N796" i="19"/>
  <c r="M796" i="19"/>
  <c r="P796" i="19" s="1"/>
  <c r="L796" i="19"/>
  <c r="P791" i="19"/>
  <c r="N791" i="19"/>
  <c r="N788" i="19" s="1"/>
  <c r="N786" i="19" s="1"/>
  <c r="L791" i="19"/>
  <c r="P790" i="19"/>
  <c r="O790" i="19"/>
  <c r="N789" i="19"/>
  <c r="M789" i="19"/>
  <c r="P789" i="19" s="1"/>
  <c r="M788" i="19"/>
  <c r="L788" i="19"/>
  <c r="O788" i="19" s="1"/>
  <c r="P787" i="19"/>
  <c r="N787" i="19"/>
  <c r="M787" i="19"/>
  <c r="L787" i="19"/>
  <c r="P782" i="19"/>
  <c r="O782" i="19"/>
  <c r="P781" i="19"/>
  <c r="O781" i="19"/>
  <c r="P780" i="19"/>
  <c r="O780" i="19"/>
  <c r="N780" i="19"/>
  <c r="M780" i="19"/>
  <c r="L780" i="19"/>
  <c r="P775" i="19"/>
  <c r="O775" i="19"/>
  <c r="N775" i="19"/>
  <c r="P774" i="19"/>
  <c r="O774" i="19"/>
  <c r="O773" i="19"/>
  <c r="N773" i="19"/>
  <c r="M773" i="19"/>
  <c r="P773" i="19" s="1"/>
  <c r="L773" i="19"/>
  <c r="N772" i="19"/>
  <c r="N770" i="19" s="1"/>
  <c r="M772" i="19"/>
  <c r="P772" i="19" s="1"/>
  <c r="L772" i="19"/>
  <c r="O772" i="19" s="1"/>
  <c r="N771" i="19"/>
  <c r="M771" i="19"/>
  <c r="L771" i="19"/>
  <c r="O771" i="19" s="1"/>
  <c r="K769" i="19"/>
  <c r="J769" i="19"/>
  <c r="P766" i="19"/>
  <c r="O766" i="19"/>
  <c r="P765" i="19"/>
  <c r="O765" i="19"/>
  <c r="P764" i="19"/>
  <c r="O764" i="19"/>
  <c r="N764" i="19"/>
  <c r="M764" i="19"/>
  <c r="L764" i="19"/>
  <c r="P759" i="19"/>
  <c r="O759" i="19"/>
  <c r="N759" i="19"/>
  <c r="P758" i="19"/>
  <c r="O758" i="19"/>
  <c r="O757" i="19"/>
  <c r="N757" i="19"/>
  <c r="M757" i="19"/>
  <c r="P757" i="19" s="1"/>
  <c r="L757" i="19"/>
  <c r="N756" i="19"/>
  <c r="N754" i="19" s="1"/>
  <c r="M756" i="19"/>
  <c r="P756" i="19" s="1"/>
  <c r="L756" i="19"/>
  <c r="O756" i="19" s="1"/>
  <c r="N755" i="19"/>
  <c r="M755" i="19"/>
  <c r="L755" i="19"/>
  <c r="K753" i="19"/>
  <c r="J753" i="19"/>
  <c r="P749" i="19"/>
  <c r="O749" i="19"/>
  <c r="P748" i="19"/>
  <c r="O748" i="19"/>
  <c r="P747" i="19"/>
  <c r="O747" i="19"/>
  <c r="N747" i="19"/>
  <c r="M747" i="19"/>
  <c r="L747" i="19"/>
  <c r="P742" i="19"/>
  <c r="O742" i="19"/>
  <c r="N742" i="19"/>
  <c r="P741" i="19"/>
  <c r="O741" i="19"/>
  <c r="O740" i="19"/>
  <c r="N740" i="19"/>
  <c r="M740" i="19"/>
  <c r="P740" i="19" s="1"/>
  <c r="L740" i="19"/>
  <c r="N739" i="19"/>
  <c r="N737" i="19" s="1"/>
  <c r="M739" i="19"/>
  <c r="P739" i="19" s="1"/>
  <c r="L739" i="19"/>
  <c r="O739" i="19" s="1"/>
  <c r="N738" i="19"/>
  <c r="M738" i="19"/>
  <c r="L738" i="19"/>
  <c r="O738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P695" i="19"/>
  <c r="N695" i="19"/>
  <c r="M695" i="19"/>
  <c r="L695" i="19"/>
  <c r="O695" i="19" s="1"/>
  <c r="N690" i="19"/>
  <c r="L690" i="19"/>
  <c r="N688" i="19"/>
  <c r="N687" i="19"/>
  <c r="N685" i="19" s="1"/>
  <c r="N686" i="19"/>
  <c r="M686" i="19"/>
  <c r="L686" i="19"/>
  <c r="O686" i="19" s="1"/>
  <c r="J679" i="19"/>
  <c r="J678" i="19" s="1"/>
  <c r="I678" i="19"/>
  <c r="K678" i="19" s="1"/>
  <c r="J675" i="19"/>
  <c r="J669" i="19" s="1"/>
  <c r="J654" i="19" s="1"/>
  <c r="I671" i="19"/>
  <c r="K671" i="19" s="1"/>
  <c r="I670" i="19"/>
  <c r="K670" i="19" s="1"/>
  <c r="I669" i="19"/>
  <c r="K673" i="19" s="1"/>
  <c r="P667" i="19"/>
  <c r="O667" i="19"/>
  <c r="P666" i="19"/>
  <c r="O666" i="19"/>
  <c r="N665" i="19"/>
  <c r="M665" i="19"/>
  <c r="P665" i="19" s="1"/>
  <c r="L665" i="19"/>
  <c r="O665" i="19" s="1"/>
  <c r="N660" i="19"/>
  <c r="N658" i="19" s="1"/>
  <c r="L660" i="19"/>
  <c r="L658" i="19" s="1"/>
  <c r="O658" i="19" s="1"/>
  <c r="P659" i="19"/>
  <c r="O659" i="19"/>
  <c r="N657" i="19"/>
  <c r="P656" i="19"/>
  <c r="N656" i="19"/>
  <c r="N655" i="19" s="1"/>
  <c r="M656" i="19"/>
  <c r="L656" i="19"/>
  <c r="O656" i="19" s="1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P639" i="19"/>
  <c r="N639" i="19"/>
  <c r="M639" i="19"/>
  <c r="N634" i="19"/>
  <c r="N632" i="19" s="1"/>
  <c r="L634" i="19"/>
  <c r="M634" i="19" s="1"/>
  <c r="P633" i="19"/>
  <c r="O633" i="19"/>
  <c r="N631" i="19"/>
  <c r="N630" i="19"/>
  <c r="M630" i="19"/>
  <c r="P630" i="19" s="1"/>
  <c r="L630" i="19"/>
  <c r="O630" i="19" s="1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3" i="19" s="1"/>
  <c r="J596" i="19"/>
  <c r="J594" i="19" s="1"/>
  <c r="J595" i="19"/>
  <c r="I594" i="19"/>
  <c r="I593" i="19"/>
  <c r="I592" i="19" s="1"/>
  <c r="J583" i="19"/>
  <c r="J577" i="19" s="1"/>
  <c r="J582" i="19"/>
  <c r="I577" i="19"/>
  <c r="K577" i="19" s="1"/>
  <c r="J576" i="19"/>
  <c r="J559" i="19" s="1"/>
  <c r="J543" i="19" s="1"/>
  <c r="I576" i="19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P556" i="19"/>
  <c r="O556" i="19"/>
  <c r="N555" i="19"/>
  <c r="N545" i="19" s="1"/>
  <c r="N544" i="19" s="1"/>
  <c r="M555" i="19"/>
  <c r="N549" i="19"/>
  <c r="L549" i="19"/>
  <c r="P548" i="19"/>
  <c r="O548" i="19"/>
  <c r="N547" i="19"/>
  <c r="N546" i="19"/>
  <c r="L545" i="19"/>
  <c r="I542" i="19"/>
  <c r="K542" i="19" s="1"/>
  <c r="I541" i="19"/>
  <c r="K541" i="19" s="1"/>
  <c r="I540" i="19"/>
  <c r="K540" i="19" s="1"/>
  <c r="I539" i="19"/>
  <c r="K539" i="19" s="1"/>
  <c r="I538" i="19"/>
  <c r="I537" i="19"/>
  <c r="K537" i="19" s="1"/>
  <c r="P535" i="19"/>
  <c r="L535" i="19"/>
  <c r="P534" i="19"/>
  <c r="O534" i="19"/>
  <c r="N533" i="19"/>
  <c r="M533" i="19"/>
  <c r="P533" i="19" s="1"/>
  <c r="P528" i="19"/>
  <c r="N528" i="19"/>
  <c r="N525" i="19" s="1"/>
  <c r="N523" i="19" s="1"/>
  <c r="L528" i="19"/>
  <c r="O528" i="19" s="1"/>
  <c r="P527" i="19"/>
  <c r="O527" i="19"/>
  <c r="N526" i="19"/>
  <c r="M526" i="19"/>
  <c r="P526" i="19" s="1"/>
  <c r="P525" i="19"/>
  <c r="M525" i="19"/>
  <c r="P524" i="19"/>
  <c r="O524" i="19"/>
  <c r="N524" i="19"/>
  <c r="M524" i="19"/>
  <c r="M523" i="19" s="1"/>
  <c r="P523" i="19" s="1"/>
  <c r="L524" i="19"/>
  <c r="K517" i="19"/>
  <c r="J517" i="19"/>
  <c r="K516" i="19"/>
  <c r="P514" i="19"/>
  <c r="O514" i="19"/>
  <c r="P513" i="19"/>
  <c r="O513" i="19"/>
  <c r="N512" i="19"/>
  <c r="M512" i="19"/>
  <c r="P512" i="19" s="1"/>
  <c r="L512" i="19"/>
  <c r="O512" i="19" s="1"/>
  <c r="P507" i="19"/>
  <c r="O507" i="19"/>
  <c r="N507" i="19"/>
  <c r="N505" i="19" s="1"/>
  <c r="P506" i="19"/>
  <c r="O506" i="19"/>
  <c r="P505" i="19"/>
  <c r="O505" i="19"/>
  <c r="M505" i="19"/>
  <c r="L505" i="19"/>
  <c r="O504" i="19"/>
  <c r="N504" i="19"/>
  <c r="M504" i="19"/>
  <c r="P504" i="19" s="1"/>
  <c r="L504" i="19"/>
  <c r="N503" i="19"/>
  <c r="M503" i="19"/>
  <c r="P503" i="19" s="1"/>
  <c r="L503" i="19"/>
  <c r="O503" i="19" s="1"/>
  <c r="M502" i="19"/>
  <c r="P502" i="19" s="1"/>
  <c r="L502" i="19"/>
  <c r="O502" i="19" s="1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N472" i="19"/>
  <c r="L472" i="19"/>
  <c r="M472" i="19" s="1"/>
  <c r="P472" i="19" s="1"/>
  <c r="P471" i="19"/>
  <c r="O471" i="19"/>
  <c r="N470" i="19"/>
  <c r="N469" i="19"/>
  <c r="O468" i="19"/>
  <c r="N468" i="19"/>
  <c r="M468" i="19"/>
  <c r="P468" i="19" s="1"/>
  <c r="L468" i="19"/>
  <c r="N467" i="19"/>
  <c r="J466" i="19"/>
  <c r="I466" i="19"/>
  <c r="J465" i="19"/>
  <c r="I465" i="19"/>
  <c r="K465" i="19" s="1"/>
  <c r="I464" i="19"/>
  <c r="I463" i="19"/>
  <c r="I462" i="19"/>
  <c r="K462" i="19" s="1"/>
  <c r="I460" i="19"/>
  <c r="I442" i="19" s="1"/>
  <c r="K442" i="19" s="1"/>
  <c r="K458" i="19"/>
  <c r="P456" i="19"/>
  <c r="L456" i="19"/>
  <c r="O456" i="19" s="1"/>
  <c r="P455" i="19"/>
  <c r="O455" i="19"/>
  <c r="N454" i="19"/>
  <c r="M454" i="19"/>
  <c r="P454" i="19" s="1"/>
  <c r="N449" i="19"/>
  <c r="N447" i="19" s="1"/>
  <c r="L449" i="19"/>
  <c r="P448" i="19"/>
  <c r="O448" i="19"/>
  <c r="N446" i="19"/>
  <c r="P445" i="19"/>
  <c r="N445" i="19"/>
  <c r="N444" i="19" s="1"/>
  <c r="M445" i="19"/>
  <c r="L445" i="19"/>
  <c r="O445" i="19" s="1"/>
  <c r="J443" i="19"/>
  <c r="J442" i="19"/>
  <c r="I441" i="19"/>
  <c r="K441" i="19" s="1"/>
  <c r="I440" i="19"/>
  <c r="K440" i="19" s="1"/>
  <c r="I439" i="19"/>
  <c r="K439" i="19" s="1"/>
  <c r="I438" i="19"/>
  <c r="I437" i="19"/>
  <c r="K437" i="19" s="1"/>
  <c r="I435" i="19"/>
  <c r="K435" i="19" s="1"/>
  <c r="J434" i="19"/>
  <c r="J418" i="19" s="1"/>
  <c r="P431" i="19"/>
  <c r="L431" i="19"/>
  <c r="L429" i="19" s="1"/>
  <c r="O429" i="19" s="1"/>
  <c r="P430" i="19"/>
  <c r="O430" i="19"/>
  <c r="N429" i="19"/>
  <c r="M429" i="19"/>
  <c r="P429" i="19" s="1"/>
  <c r="N424" i="19"/>
  <c r="L424" i="19"/>
  <c r="M424" i="19" s="1"/>
  <c r="P424" i="19" s="1"/>
  <c r="P423" i="19"/>
  <c r="O423" i="19"/>
  <c r="N422" i="19"/>
  <c r="N421" i="19"/>
  <c r="N420" i="19"/>
  <c r="N419" i="19" s="1"/>
  <c r="M420" i="19"/>
  <c r="P420" i="19" s="1"/>
  <c r="L420" i="19"/>
  <c r="K413" i="19"/>
  <c r="K412" i="19"/>
  <c r="N410" i="19"/>
  <c r="N408" i="19" s="1"/>
  <c r="M410" i="19"/>
  <c r="L410" i="19"/>
  <c r="O410" i="19" s="1"/>
  <c r="P409" i="19"/>
  <c r="O409" i="19"/>
  <c r="N407" i="19"/>
  <c r="N405" i="19" s="1"/>
  <c r="M407" i="19"/>
  <c r="P407" i="19" s="1"/>
  <c r="L407" i="19"/>
  <c r="P406" i="19"/>
  <c r="O406" i="19"/>
  <c r="P403" i="19"/>
  <c r="O403" i="19"/>
  <c r="N403" i="19"/>
  <c r="M403" i="19"/>
  <c r="L403" i="19"/>
  <c r="J401" i="19"/>
  <c r="I401" i="19"/>
  <c r="K401" i="19" s="1"/>
  <c r="K400" i="19"/>
  <c r="K399" i="19"/>
  <c r="N397" i="19"/>
  <c r="N395" i="19" s="1"/>
  <c r="M397" i="19"/>
  <c r="L397" i="19"/>
  <c r="P396" i="19"/>
  <c r="O396" i="19"/>
  <c r="N394" i="19"/>
  <c r="N392" i="19" s="1"/>
  <c r="M394" i="19"/>
  <c r="L394" i="19"/>
  <c r="P393" i="19"/>
  <c r="O393" i="19"/>
  <c r="N390" i="19"/>
  <c r="M390" i="19"/>
  <c r="P390" i="19" s="1"/>
  <c r="L390" i="19"/>
  <c r="K388" i="19"/>
  <c r="J388" i="19"/>
  <c r="I388" i="19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L353" i="19"/>
  <c r="P352" i="19"/>
  <c r="O352" i="19"/>
  <c r="N350" i="19"/>
  <c r="N348" i="19" s="1"/>
  <c r="M350" i="19"/>
  <c r="L350" i="19"/>
  <c r="P349" i="19"/>
  <c r="O349" i="19"/>
  <c r="N346" i="19"/>
  <c r="M346" i="19"/>
  <c r="P346" i="19" s="1"/>
  <c r="L346" i="19"/>
  <c r="J343" i="19"/>
  <c r="J342" i="19"/>
  <c r="J341" i="19"/>
  <c r="J340" i="19"/>
  <c r="I340" i="19"/>
  <c r="J338" i="19"/>
  <c r="I338" i="19"/>
  <c r="N336" i="19"/>
  <c r="M336" i="19"/>
  <c r="P336" i="19" s="1"/>
  <c r="L336" i="19"/>
  <c r="L334" i="19" s="1"/>
  <c r="O334" i="19" s="1"/>
  <c r="P335" i="19"/>
  <c r="O335" i="19"/>
  <c r="N333" i="19"/>
  <c r="N331" i="19" s="1"/>
  <c r="M333" i="19"/>
  <c r="L333" i="19"/>
  <c r="L331" i="19" s="1"/>
  <c r="P332" i="19"/>
  <c r="O332" i="19"/>
  <c r="N329" i="19"/>
  <c r="M329" i="19"/>
  <c r="P329" i="19" s="1"/>
  <c r="L329" i="19"/>
  <c r="I327" i="19"/>
  <c r="I325" i="19"/>
  <c r="K325" i="19" s="1"/>
  <c r="N323" i="19"/>
  <c r="N321" i="19" s="1"/>
  <c r="M323" i="19"/>
  <c r="P323" i="19" s="1"/>
  <c r="L323" i="19"/>
  <c r="P322" i="19"/>
  <c r="O322" i="19"/>
  <c r="N320" i="19"/>
  <c r="M320" i="19"/>
  <c r="L320" i="19"/>
  <c r="O320" i="19" s="1"/>
  <c r="P319" i="19"/>
  <c r="O319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P306" i="19" s="1"/>
  <c r="L306" i="19"/>
  <c r="O306" i="19" s="1"/>
  <c r="P305" i="19"/>
  <c r="O305" i="19"/>
  <c r="N303" i="19"/>
  <c r="N301" i="19" s="1"/>
  <c r="M303" i="19"/>
  <c r="M301" i="19" s="1"/>
  <c r="L303" i="19"/>
  <c r="L301" i="19" s="1"/>
  <c r="P302" i="19"/>
  <c r="O302" i="19"/>
  <c r="P299" i="19"/>
  <c r="N299" i="19"/>
  <c r="M299" i="19"/>
  <c r="L299" i="19"/>
  <c r="O299" i="19" s="1"/>
  <c r="J297" i="19"/>
  <c r="I294" i="19"/>
  <c r="K294" i="19" s="1"/>
  <c r="I293" i="19"/>
  <c r="K293" i="19" s="1"/>
  <c r="I291" i="19"/>
  <c r="K291" i="19" s="1"/>
  <c r="I290" i="19"/>
  <c r="K290" i="19" s="1"/>
  <c r="I288" i="19"/>
  <c r="J288" i="19" s="1"/>
  <c r="J275" i="19" s="1"/>
  <c r="I287" i="19"/>
  <c r="K287" i="19" s="1"/>
  <c r="N285" i="19"/>
  <c r="N283" i="19" s="1"/>
  <c r="M285" i="19"/>
  <c r="M283" i="19" s="1"/>
  <c r="P283" i="19" s="1"/>
  <c r="L285" i="19"/>
  <c r="L283" i="19" s="1"/>
  <c r="O283" i="19" s="1"/>
  <c r="P284" i="19"/>
  <c r="O284" i="19"/>
  <c r="N282" i="19"/>
  <c r="M282" i="19"/>
  <c r="P282" i="19" s="1"/>
  <c r="L282" i="19"/>
  <c r="P281" i="19"/>
  <c r="O281" i="19"/>
  <c r="N278" i="19"/>
  <c r="M278" i="19"/>
  <c r="L278" i="19"/>
  <c r="O278" i="19" s="1"/>
  <c r="J276" i="19"/>
  <c r="I271" i="19"/>
  <c r="N269" i="19"/>
  <c r="N267" i="19" s="1"/>
  <c r="M269" i="19"/>
  <c r="L269" i="19"/>
  <c r="P268" i="19"/>
  <c r="O268" i="19"/>
  <c r="N266" i="19"/>
  <c r="M266" i="19"/>
  <c r="M264" i="19" s="1"/>
  <c r="L266" i="19"/>
  <c r="P265" i="19"/>
  <c r="O265" i="19"/>
  <c r="N262" i="19"/>
  <c r="M262" i="19"/>
  <c r="L262" i="19"/>
  <c r="O262" i="19" s="1"/>
  <c r="J260" i="19"/>
  <c r="K258" i="19"/>
  <c r="K257" i="19"/>
  <c r="I255" i="19"/>
  <c r="K255" i="19" s="1"/>
  <c r="L253" i="19"/>
  <c r="L252" i="19"/>
  <c r="L251" i="19"/>
  <c r="L250" i="19"/>
  <c r="P249" i="19"/>
  <c r="N249" i="19"/>
  <c r="J248" i="19"/>
  <c r="K247" i="19"/>
  <c r="K246" i="19"/>
  <c r="I244" i="19"/>
  <c r="K244" i="19" s="1"/>
  <c r="L242" i="19"/>
  <c r="L241" i="19"/>
  <c r="L240" i="19"/>
  <c r="L239" i="19"/>
  <c r="P238" i="19"/>
  <c r="N238" i="19"/>
  <c r="N227" i="19" s="1"/>
  <c r="J237" i="19"/>
  <c r="J236" i="19"/>
  <c r="I236" i="19"/>
  <c r="K236" i="19" s="1"/>
  <c r="J235" i="19"/>
  <c r="I235" i="19"/>
  <c r="K235" i="19" s="1"/>
  <c r="J233" i="19"/>
  <c r="N231" i="19"/>
  <c r="N230" i="19"/>
  <c r="N229" i="19"/>
  <c r="N228" i="19"/>
  <c r="J226" i="19"/>
  <c r="J180" i="19" s="1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I214" i="19"/>
  <c r="K214" i="19" s="1"/>
  <c r="L212" i="19"/>
  <c r="L211" i="19"/>
  <c r="L210" i="19"/>
  <c r="P209" i="19"/>
  <c r="N209" i="19"/>
  <c r="J208" i="19"/>
  <c r="I204" i="19"/>
  <c r="I197" i="19" s="1"/>
  <c r="K197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L189" i="19"/>
  <c r="O189" i="19" s="1"/>
  <c r="P188" i="19"/>
  <c r="O188" i="19"/>
  <c r="N186" i="19"/>
  <c r="M186" i="19"/>
  <c r="M184" i="19" s="1"/>
  <c r="L186" i="19"/>
  <c r="L184" i="19" s="1"/>
  <c r="P185" i="19"/>
  <c r="O185" i="19"/>
  <c r="P182" i="19"/>
  <c r="O182" i="19"/>
  <c r="N182" i="19"/>
  <c r="M182" i="19"/>
  <c r="L182" i="19"/>
  <c r="J177" i="19"/>
  <c r="J164" i="19" s="1"/>
  <c r="I176" i="19"/>
  <c r="I174" i="19" s="1"/>
  <c r="K174" i="19" s="1"/>
  <c r="J174" i="19"/>
  <c r="N173" i="19"/>
  <c r="N171" i="19" s="1"/>
  <c r="M173" i="19"/>
  <c r="M171" i="19" s="1"/>
  <c r="P171" i="19" s="1"/>
  <c r="L173" i="19"/>
  <c r="O173" i="19" s="1"/>
  <c r="P172" i="19"/>
  <c r="O172" i="19"/>
  <c r="N170" i="19"/>
  <c r="N168" i="19" s="1"/>
  <c r="M170" i="19"/>
  <c r="L170" i="19"/>
  <c r="L168" i="19" s="1"/>
  <c r="P169" i="19"/>
  <c r="O169" i="19"/>
  <c r="P166" i="19"/>
  <c r="N166" i="19"/>
  <c r="M166" i="19"/>
  <c r="L166" i="19"/>
  <c r="I159" i="19"/>
  <c r="N157" i="19"/>
  <c r="N155" i="19" s="1"/>
  <c r="M157" i="19"/>
  <c r="P157" i="19" s="1"/>
  <c r="L157" i="19"/>
  <c r="O157" i="19" s="1"/>
  <c r="P156" i="19"/>
  <c r="O156" i="19"/>
  <c r="N154" i="19"/>
  <c r="M154" i="19"/>
  <c r="L154" i="19"/>
  <c r="L152" i="19" s="1"/>
  <c r="P153" i="19"/>
  <c r="O153" i="19"/>
  <c r="P150" i="19"/>
  <c r="O150" i="19"/>
  <c r="N150" i="19"/>
  <c r="M150" i="19"/>
  <c r="L150" i="19"/>
  <c r="J148" i="19"/>
  <c r="I146" i="19"/>
  <c r="I130" i="19" s="1"/>
  <c r="K130" i="19" s="1"/>
  <c r="I145" i="19"/>
  <c r="I144" i="19"/>
  <c r="K144" i="19" s="1"/>
  <c r="N140" i="19"/>
  <c r="N138" i="19" s="1"/>
  <c r="M140" i="19"/>
  <c r="L140" i="19"/>
  <c r="L138" i="19" s="1"/>
  <c r="O138" i="19" s="1"/>
  <c r="P139" i="19"/>
  <c r="O139" i="19"/>
  <c r="N137" i="19"/>
  <c r="N135" i="19" s="1"/>
  <c r="M137" i="19"/>
  <c r="M135" i="19" s="1"/>
  <c r="P135" i="19" s="1"/>
  <c r="L137" i="19"/>
  <c r="L135" i="19" s="1"/>
  <c r="O135" i="19" s="1"/>
  <c r="P136" i="19"/>
  <c r="O136" i="19"/>
  <c r="N133" i="19"/>
  <c r="M133" i="19"/>
  <c r="L133" i="19"/>
  <c r="J130" i="19"/>
  <c r="N127" i="19"/>
  <c r="M127" i="19"/>
  <c r="L127" i="19"/>
  <c r="O127" i="19" s="1"/>
  <c r="P126" i="19"/>
  <c r="O126" i="19"/>
  <c r="N124" i="19"/>
  <c r="N122" i="19" s="1"/>
  <c r="M124" i="19"/>
  <c r="P124" i="19" s="1"/>
  <c r="L124" i="19"/>
  <c r="O124" i="19" s="1"/>
  <c r="P123" i="19"/>
  <c r="O123" i="19"/>
  <c r="P120" i="19"/>
  <c r="N120" i="19"/>
  <c r="M120" i="19"/>
  <c r="L120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J87" i="19" s="1"/>
  <c r="I99" i="19"/>
  <c r="J98" i="19"/>
  <c r="I98" i="19"/>
  <c r="K98" i="19" s="1"/>
  <c r="N96" i="19"/>
  <c r="N94" i="19" s="1"/>
  <c r="M96" i="19"/>
  <c r="M94" i="19" s="1"/>
  <c r="P94" i="19" s="1"/>
  <c r="L96" i="19"/>
  <c r="P95" i="19"/>
  <c r="O95" i="19"/>
  <c r="N93" i="19"/>
  <c r="N91" i="19" s="1"/>
  <c r="M93" i="19"/>
  <c r="L93" i="19"/>
  <c r="L91" i="19" s="1"/>
  <c r="P92" i="19"/>
  <c r="O92" i="19"/>
  <c r="P89" i="19"/>
  <c r="N89" i="19"/>
  <c r="M89" i="19"/>
  <c r="L89" i="19"/>
  <c r="J86" i="19"/>
  <c r="I84" i="19"/>
  <c r="K84" i="19" s="1"/>
  <c r="I83" i="19"/>
  <c r="I82" i="19"/>
  <c r="K82" i="19" s="1"/>
  <c r="I81" i="19"/>
  <c r="K81" i="19" s="1"/>
  <c r="I80" i="19"/>
  <c r="I79" i="19"/>
  <c r="K79" i="19" s="1"/>
  <c r="I78" i="19"/>
  <c r="K78" i="19" s="1"/>
  <c r="J77" i="19"/>
  <c r="J65" i="19" s="1"/>
  <c r="J76" i="19"/>
  <c r="N74" i="19"/>
  <c r="N72" i="19" s="1"/>
  <c r="M74" i="19"/>
  <c r="M72" i="19" s="1"/>
  <c r="P72" i="19" s="1"/>
  <c r="L74" i="19"/>
  <c r="L72" i="19" s="1"/>
  <c r="O72" i="19" s="1"/>
  <c r="P73" i="19"/>
  <c r="O73" i="19"/>
  <c r="N71" i="19"/>
  <c r="M71" i="19"/>
  <c r="L71" i="19"/>
  <c r="L69" i="19" s="1"/>
  <c r="O69" i="19" s="1"/>
  <c r="P70" i="19"/>
  <c r="O70" i="19"/>
  <c r="O67" i="19"/>
  <c r="N67" i="19"/>
  <c r="M67" i="19"/>
  <c r="P67" i="19" s="1"/>
  <c r="L67" i="19"/>
  <c r="J64" i="19"/>
  <c r="N61" i="19"/>
  <c r="N59" i="19" s="1"/>
  <c r="M61" i="19"/>
  <c r="L61" i="19"/>
  <c r="L59" i="19" s="1"/>
  <c r="O59" i="19" s="1"/>
  <c r="P60" i="19"/>
  <c r="O60" i="19"/>
  <c r="N58" i="19"/>
  <c r="N56" i="19" s="1"/>
  <c r="M58" i="19"/>
  <c r="L58" i="19"/>
  <c r="L56" i="19" s="1"/>
  <c r="P57" i="19"/>
  <c r="O57" i="19"/>
  <c r="N54" i="19"/>
  <c r="M54" i="19"/>
  <c r="L54" i="19"/>
  <c r="O54" i="19" s="1"/>
  <c r="N49" i="19"/>
  <c r="N47" i="19" s="1"/>
  <c r="M49" i="19"/>
  <c r="P49" i="19" s="1"/>
  <c r="L49" i="19"/>
  <c r="O49" i="19" s="1"/>
  <c r="P48" i="19"/>
  <c r="O48" i="19"/>
  <c r="N46" i="19"/>
  <c r="N44" i="19" s="1"/>
  <c r="M46" i="19"/>
  <c r="M44" i="19" s="1"/>
  <c r="L46" i="19"/>
  <c r="P45" i="19"/>
  <c r="O45" i="19"/>
  <c r="P42" i="19"/>
  <c r="O42" i="19"/>
  <c r="N42" i="19"/>
  <c r="M42" i="19"/>
  <c r="L42" i="19"/>
  <c r="N36" i="19"/>
  <c r="M36" i="19"/>
  <c r="P36" i="19" s="1"/>
  <c r="P35" i="19"/>
  <c r="N35" i="19"/>
  <c r="M35" i="19"/>
  <c r="L35" i="19"/>
  <c r="L29" i="19" s="1"/>
  <c r="N34" i="19"/>
  <c r="N33" i="19"/>
  <c r="N30" i="19" s="1"/>
  <c r="O32" i="19"/>
  <c r="N32" i="19"/>
  <c r="N29" i="19" s="1"/>
  <c r="N28" i="19" s="1"/>
  <c r="M32" i="19"/>
  <c r="P32" i="19" s="1"/>
  <c r="L32" i="19"/>
  <c r="N31" i="19"/>
  <c r="O25" i="19"/>
  <c r="N25" i="19"/>
  <c r="N15" i="19" s="1"/>
  <c r="M25" i="19"/>
  <c r="P25" i="19" s="1"/>
  <c r="L25" i="19"/>
  <c r="P22" i="19"/>
  <c r="N22" i="19"/>
  <c r="M22" i="19"/>
  <c r="L22" i="19"/>
  <c r="N19" i="19"/>
  <c r="M19" i="19"/>
  <c r="P19" i="19" s="1"/>
  <c r="L15" i="19"/>
  <c r="N12" i="19"/>
  <c r="N9" i="19" s="1"/>
  <c r="M12" i="19"/>
  <c r="P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N807" i="18" s="1"/>
  <c r="N805" i="18" s="1"/>
  <c r="P809" i="18"/>
  <c r="O809" i="18"/>
  <c r="N808" i="18"/>
  <c r="M808" i="18"/>
  <c r="P808" i="18" s="1"/>
  <c r="L808" i="18"/>
  <c r="O808" i="18" s="1"/>
  <c r="M807" i="18"/>
  <c r="L807" i="18"/>
  <c r="O807" i="18" s="1"/>
  <c r="P806" i="18"/>
  <c r="N806" i="18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N791" i="18"/>
  <c r="L791" i="18"/>
  <c r="P790" i="18"/>
  <c r="O790" i="18"/>
  <c r="N788" i="18"/>
  <c r="P787" i="18"/>
  <c r="O787" i="18"/>
  <c r="N787" i="18"/>
  <c r="M787" i="18"/>
  <c r="L787" i="18"/>
  <c r="N786" i="18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M773" i="18"/>
  <c r="P773" i="18" s="1"/>
  <c r="L773" i="18"/>
  <c r="O773" i="18" s="1"/>
  <c r="P772" i="18"/>
  <c r="M772" i="18"/>
  <c r="L772" i="18"/>
  <c r="P771" i="18"/>
  <c r="O771" i="18"/>
  <c r="N771" i="18"/>
  <c r="M771" i="18"/>
  <c r="L771" i="18"/>
  <c r="P770" i="18"/>
  <c r="M770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M757" i="18"/>
  <c r="P757" i="18" s="1"/>
  <c r="L757" i="18"/>
  <c r="O757" i="18" s="1"/>
  <c r="P756" i="18"/>
  <c r="M756" i="18"/>
  <c r="L756" i="18"/>
  <c r="P755" i="18"/>
  <c r="O755" i="18"/>
  <c r="N755" i="18"/>
  <c r="M755" i="18"/>
  <c r="L755" i="18"/>
  <c r="P754" i="18"/>
  <c r="M754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P741" i="18"/>
  <c r="O741" i="18"/>
  <c r="M740" i="18"/>
  <c r="P740" i="18" s="1"/>
  <c r="L740" i="18"/>
  <c r="O740" i="18" s="1"/>
  <c r="P739" i="18"/>
  <c r="M739" i="18"/>
  <c r="L739" i="18"/>
  <c r="P738" i="18"/>
  <c r="O738" i="18"/>
  <c r="N738" i="18"/>
  <c r="M738" i="18"/>
  <c r="L738" i="18"/>
  <c r="P737" i="18"/>
  <c r="M737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P690" i="18"/>
  <c r="N690" i="18"/>
  <c r="L690" i="18"/>
  <c r="L688" i="18" s="1"/>
  <c r="O688" i="18" s="1"/>
  <c r="P688" i="18"/>
  <c r="M688" i="18"/>
  <c r="P687" i="18"/>
  <c r="M687" i="18"/>
  <c r="P686" i="18"/>
  <c r="O686" i="18"/>
  <c r="N686" i="18"/>
  <c r="M686" i="18"/>
  <c r="M685" i="18" s="1"/>
  <c r="P685" i="18" s="1"/>
  <c r="L686" i="18"/>
  <c r="J679" i="18"/>
  <c r="J678" i="18"/>
  <c r="I678" i="18"/>
  <c r="K678" i="18" s="1"/>
  <c r="J675" i="18"/>
  <c r="I671" i="18"/>
  <c r="K671" i="18" s="1"/>
  <c r="I670" i="18"/>
  <c r="K670" i="18" s="1"/>
  <c r="J669" i="18"/>
  <c r="J654" i="18" s="1"/>
  <c r="I669" i="18"/>
  <c r="P667" i="18"/>
  <c r="O667" i="18"/>
  <c r="P666" i="18"/>
  <c r="O666" i="18"/>
  <c r="P665" i="18"/>
  <c r="O665" i="18"/>
  <c r="N665" i="18"/>
  <c r="M665" i="18"/>
  <c r="L665" i="18"/>
  <c r="N660" i="18"/>
  <c r="N658" i="18" s="1"/>
  <c r="L660" i="18"/>
  <c r="P659" i="18"/>
  <c r="O659" i="18"/>
  <c r="N656" i="18"/>
  <c r="M656" i="18"/>
  <c r="P656" i="18" s="1"/>
  <c r="L656" i="18"/>
  <c r="O656" i="18" s="1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N639" i="18"/>
  <c r="M639" i="18"/>
  <c r="P639" i="18" s="1"/>
  <c r="N634" i="18"/>
  <c r="N632" i="18" s="1"/>
  <c r="L634" i="18"/>
  <c r="L632" i="18" s="1"/>
  <c r="P633" i="18"/>
  <c r="O633" i="18"/>
  <c r="N631" i="18"/>
  <c r="P630" i="18"/>
  <c r="O630" i="18"/>
  <c r="N630" i="18"/>
  <c r="N629" i="18" s="1"/>
  <c r="M630" i="18"/>
  <c r="L630" i="18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3" i="18" s="1"/>
  <c r="J596" i="18"/>
  <c r="J595" i="18"/>
  <c r="J594" i="18"/>
  <c r="I594" i="18"/>
  <c r="I593" i="18"/>
  <c r="I592" i="18" s="1"/>
  <c r="J592" i="18"/>
  <c r="J583" i="18"/>
  <c r="J582" i="18"/>
  <c r="J577" i="18"/>
  <c r="I577" i="18"/>
  <c r="K577" i="18" s="1"/>
  <c r="J576" i="18"/>
  <c r="I576" i="18"/>
  <c r="J569" i="18"/>
  <c r="I569" i="18"/>
  <c r="J568" i="18"/>
  <c r="I568" i="18"/>
  <c r="K568" i="18" s="1"/>
  <c r="J561" i="18"/>
  <c r="I561" i="18"/>
  <c r="J560" i="18"/>
  <c r="I560" i="18"/>
  <c r="K560" i="18" s="1"/>
  <c r="J559" i="18"/>
  <c r="J543" i="18" s="1"/>
  <c r="P557" i="18"/>
  <c r="L557" i="18"/>
  <c r="L555" i="18" s="1"/>
  <c r="O555" i="18" s="1"/>
  <c r="P556" i="18"/>
  <c r="O556" i="18"/>
  <c r="P555" i="18"/>
  <c r="N555" i="18"/>
  <c r="M555" i="18"/>
  <c r="M545" i="18" s="1"/>
  <c r="P545" i="18" s="1"/>
  <c r="N549" i="18"/>
  <c r="L549" i="18"/>
  <c r="L547" i="18" s="1"/>
  <c r="O547" i="18" s="1"/>
  <c r="P548" i="18"/>
  <c r="O548" i="18"/>
  <c r="N547" i="18"/>
  <c r="N546" i="18"/>
  <c r="O545" i="18"/>
  <c r="N545" i="18"/>
  <c r="N544" i="18" s="1"/>
  <c r="L545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P535" i="18"/>
  <c r="L535" i="18"/>
  <c r="O535" i="18" s="1"/>
  <c r="P534" i="18"/>
  <c r="O534" i="18"/>
  <c r="P533" i="18"/>
  <c r="N533" i="18"/>
  <c r="M533" i="18"/>
  <c r="N528" i="18"/>
  <c r="N526" i="18" s="1"/>
  <c r="L528" i="18"/>
  <c r="P527" i="18"/>
  <c r="O527" i="18"/>
  <c r="N524" i="18"/>
  <c r="M524" i="18"/>
  <c r="P524" i="18" s="1"/>
  <c r="L524" i="18"/>
  <c r="O524" i="18" s="1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N504" i="18" s="1"/>
  <c r="N502" i="18" s="1"/>
  <c r="P506" i="18"/>
  <c r="O506" i="18"/>
  <c r="N505" i="18"/>
  <c r="M505" i="18"/>
  <c r="P505" i="18" s="1"/>
  <c r="L505" i="18"/>
  <c r="O505" i="18" s="1"/>
  <c r="M504" i="18"/>
  <c r="L504" i="18"/>
  <c r="O504" i="18" s="1"/>
  <c r="P503" i="18"/>
  <c r="N503" i="18"/>
  <c r="M503" i="18"/>
  <c r="L503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L472" i="18"/>
  <c r="O472" i="18" s="1"/>
  <c r="P471" i="18"/>
  <c r="O471" i="18"/>
  <c r="N470" i="18"/>
  <c r="N469" i="18"/>
  <c r="N467" i="18" s="1"/>
  <c r="N468" i="18"/>
  <c r="M468" i="18"/>
  <c r="L468" i="18"/>
  <c r="O468" i="18" s="1"/>
  <c r="J466" i="18"/>
  <c r="I466" i="18"/>
  <c r="K466" i="18" s="1"/>
  <c r="J465" i="18"/>
  <c r="I465" i="18"/>
  <c r="K465" i="18" s="1"/>
  <c r="I464" i="18"/>
  <c r="I463" i="18"/>
  <c r="I462" i="18"/>
  <c r="K462" i="18" s="1"/>
  <c r="I460" i="18"/>
  <c r="K460" i="18" s="1"/>
  <c r="K458" i="18"/>
  <c r="P456" i="18"/>
  <c r="L456" i="18"/>
  <c r="L454" i="18" s="1"/>
  <c r="O454" i="18" s="1"/>
  <c r="P455" i="18"/>
  <c r="O455" i="18"/>
  <c r="P454" i="18"/>
  <c r="N454" i="18"/>
  <c r="M454" i="18"/>
  <c r="P449" i="18"/>
  <c r="N449" i="18"/>
  <c r="L449" i="18"/>
  <c r="L447" i="18" s="1"/>
  <c r="O447" i="18" s="1"/>
  <c r="P448" i="18"/>
  <c r="O448" i="18"/>
  <c r="P447" i="18"/>
  <c r="N447" i="18"/>
  <c r="M447" i="18"/>
  <c r="N446" i="18"/>
  <c r="M446" i="18"/>
  <c r="P446" i="18" s="1"/>
  <c r="N445" i="18"/>
  <c r="M445" i="18"/>
  <c r="P445" i="18" s="1"/>
  <c r="L445" i="18"/>
  <c r="O445" i="18" s="1"/>
  <c r="M444" i="18"/>
  <c r="P444" i="18" s="1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I433" i="18" s="1"/>
  <c r="J434" i="18"/>
  <c r="J418" i="18" s="1"/>
  <c r="P431" i="18"/>
  <c r="L431" i="18"/>
  <c r="P430" i="18"/>
  <c r="O430" i="18"/>
  <c r="P429" i="18"/>
  <c r="N429" i="18"/>
  <c r="M429" i="18"/>
  <c r="N424" i="18"/>
  <c r="L424" i="18"/>
  <c r="P423" i="18"/>
  <c r="O423" i="18"/>
  <c r="N422" i="18"/>
  <c r="N421" i="18"/>
  <c r="O420" i="18"/>
  <c r="N420" i="18"/>
  <c r="M420" i="18"/>
  <c r="P420" i="18" s="1"/>
  <c r="L420" i="18"/>
  <c r="N419" i="18"/>
  <c r="K413" i="18"/>
  <c r="K412" i="18"/>
  <c r="N410" i="18"/>
  <c r="M410" i="18"/>
  <c r="L410" i="18"/>
  <c r="O410" i="18" s="1"/>
  <c r="P409" i="18"/>
  <c r="O409" i="18"/>
  <c r="N407" i="18"/>
  <c r="N405" i="18" s="1"/>
  <c r="M407" i="18"/>
  <c r="L407" i="18"/>
  <c r="O407" i="18" s="1"/>
  <c r="P406" i="18"/>
  <c r="O406" i="18"/>
  <c r="N403" i="18"/>
  <c r="M403" i="18"/>
  <c r="L403" i="18"/>
  <c r="O403" i="18" s="1"/>
  <c r="J401" i="18"/>
  <c r="I401" i="18"/>
  <c r="K401" i="18" s="1"/>
  <c r="K400" i="18"/>
  <c r="K399" i="18"/>
  <c r="N397" i="18"/>
  <c r="N395" i="18" s="1"/>
  <c r="M397" i="18"/>
  <c r="M395" i="18" s="1"/>
  <c r="P395" i="18" s="1"/>
  <c r="L397" i="18"/>
  <c r="L395" i="18" s="1"/>
  <c r="O395" i="18" s="1"/>
  <c r="P396" i="18"/>
  <c r="O396" i="18"/>
  <c r="N394" i="18"/>
  <c r="N392" i="18" s="1"/>
  <c r="M394" i="18"/>
  <c r="P394" i="18" s="1"/>
  <c r="L394" i="18"/>
  <c r="L392" i="18" s="1"/>
  <c r="O392" i="18" s="1"/>
  <c r="P393" i="18"/>
  <c r="O393" i="18"/>
  <c r="N390" i="18"/>
  <c r="M390" i="18"/>
  <c r="P390" i="18" s="1"/>
  <c r="L390" i="18"/>
  <c r="O390" i="18" s="1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L353" i="18"/>
  <c r="L351" i="18" s="1"/>
  <c r="P352" i="18"/>
  <c r="O352" i="18"/>
  <c r="N350" i="18"/>
  <c r="M350" i="18"/>
  <c r="L350" i="18"/>
  <c r="L348" i="18" s="1"/>
  <c r="P349" i="18"/>
  <c r="O349" i="18"/>
  <c r="O346" i="18"/>
  <c r="N346" i="18"/>
  <c r="M346" i="18"/>
  <c r="P346" i="18" s="1"/>
  <c r="L346" i="18"/>
  <c r="J343" i="18"/>
  <c r="J342" i="18"/>
  <c r="J341" i="18"/>
  <c r="J340" i="18"/>
  <c r="I340" i="18"/>
  <c r="J338" i="18"/>
  <c r="I338" i="18"/>
  <c r="N336" i="18"/>
  <c r="M336" i="18"/>
  <c r="M334" i="18" s="1"/>
  <c r="P334" i="18" s="1"/>
  <c r="L336" i="18"/>
  <c r="L334" i="18" s="1"/>
  <c r="O334" i="18" s="1"/>
  <c r="P335" i="18"/>
  <c r="O335" i="18"/>
  <c r="N333" i="18"/>
  <c r="N331" i="18" s="1"/>
  <c r="M333" i="18"/>
  <c r="M331" i="18" s="1"/>
  <c r="L333" i="18"/>
  <c r="L331" i="18" s="1"/>
  <c r="P332" i="18"/>
  <c r="O332" i="18"/>
  <c r="O329" i="18"/>
  <c r="N329" i="18"/>
  <c r="M329" i="18"/>
  <c r="P329" i="18" s="1"/>
  <c r="L329" i="18"/>
  <c r="I327" i="18"/>
  <c r="I325" i="18"/>
  <c r="K325" i="18" s="1"/>
  <c r="N323" i="18"/>
  <c r="N321" i="18" s="1"/>
  <c r="M323" i="18"/>
  <c r="P323" i="18" s="1"/>
  <c r="L323" i="18"/>
  <c r="L321" i="18" s="1"/>
  <c r="O321" i="18" s="1"/>
  <c r="P322" i="18"/>
  <c r="O322" i="18"/>
  <c r="N320" i="18"/>
  <c r="N318" i="18" s="1"/>
  <c r="M320" i="18"/>
  <c r="M318" i="18" s="1"/>
  <c r="L320" i="18"/>
  <c r="L318" i="18" s="1"/>
  <c r="P319" i="18"/>
  <c r="O319" i="18"/>
  <c r="O316" i="18"/>
  <c r="N316" i="18"/>
  <c r="M316" i="18"/>
  <c r="P316" i="18" s="1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O306" i="18" s="1"/>
  <c r="P305" i="18"/>
  <c r="O305" i="18"/>
  <c r="N303" i="18"/>
  <c r="N301" i="18" s="1"/>
  <c r="M303" i="18"/>
  <c r="L303" i="18"/>
  <c r="O303" i="18" s="1"/>
  <c r="P302" i="18"/>
  <c r="O302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I287" i="18"/>
  <c r="K287" i="18" s="1"/>
  <c r="N285" i="18"/>
  <c r="N283" i="18" s="1"/>
  <c r="M285" i="18"/>
  <c r="P285" i="18" s="1"/>
  <c r="L285" i="18"/>
  <c r="O285" i="18" s="1"/>
  <c r="P284" i="18"/>
  <c r="O284" i="18"/>
  <c r="N282" i="18"/>
  <c r="M282" i="18"/>
  <c r="M280" i="18" s="1"/>
  <c r="L282" i="18"/>
  <c r="L280" i="18" s="1"/>
  <c r="P281" i="18"/>
  <c r="O281" i="18"/>
  <c r="P278" i="18"/>
  <c r="N278" i="18"/>
  <c r="M278" i="18"/>
  <c r="L278" i="18"/>
  <c r="O278" i="18" s="1"/>
  <c r="J276" i="18"/>
  <c r="I271" i="18"/>
  <c r="K271" i="18" s="1"/>
  <c r="N269" i="18"/>
  <c r="N267" i="18" s="1"/>
  <c r="M269" i="18"/>
  <c r="P269" i="18" s="1"/>
  <c r="L269" i="18"/>
  <c r="O269" i="18" s="1"/>
  <c r="P268" i="18"/>
  <c r="O268" i="18"/>
  <c r="N266" i="18"/>
  <c r="N264" i="18" s="1"/>
  <c r="M266" i="18"/>
  <c r="L266" i="18"/>
  <c r="L264" i="18" s="1"/>
  <c r="P265" i="18"/>
  <c r="O265" i="18"/>
  <c r="O262" i="18"/>
  <c r="N262" i="18"/>
  <c r="M262" i="18"/>
  <c r="L262" i="18"/>
  <c r="J260" i="18"/>
  <c r="K258" i="18"/>
  <c r="K257" i="18"/>
  <c r="I255" i="18"/>
  <c r="I248" i="18" s="1"/>
  <c r="K248" i="18" s="1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J237" i="18"/>
  <c r="K236" i="18"/>
  <c r="J236" i="18"/>
  <c r="I236" i="18"/>
  <c r="J235" i="18"/>
  <c r="I235" i="18"/>
  <c r="K235" i="18" s="1"/>
  <c r="J233" i="18"/>
  <c r="N231" i="18"/>
  <c r="N230" i="18"/>
  <c r="N229" i="18"/>
  <c r="N228" i="18"/>
  <c r="N227" i="18"/>
  <c r="J226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I208" i="18" s="1"/>
  <c r="K208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P189" i="18" s="1"/>
  <c r="L189" i="18"/>
  <c r="P188" i="18"/>
  <c r="O188" i="18"/>
  <c r="N186" i="18"/>
  <c r="M186" i="18"/>
  <c r="M184" i="18" s="1"/>
  <c r="L186" i="18"/>
  <c r="P185" i="18"/>
  <c r="O185" i="18"/>
  <c r="O182" i="18"/>
  <c r="N182" i="18"/>
  <c r="M182" i="18"/>
  <c r="L182" i="18"/>
  <c r="J180" i="18"/>
  <c r="J177" i="18"/>
  <c r="I176" i="18"/>
  <c r="J174" i="18"/>
  <c r="J164" i="18" s="1"/>
  <c r="N173" i="18"/>
  <c r="N171" i="18" s="1"/>
  <c r="M173" i="18"/>
  <c r="P173" i="18" s="1"/>
  <c r="L173" i="18"/>
  <c r="P172" i="18"/>
  <c r="O172" i="18"/>
  <c r="N170" i="18"/>
  <c r="M170" i="18"/>
  <c r="M168" i="18" s="1"/>
  <c r="L170" i="18"/>
  <c r="P169" i="18"/>
  <c r="O169" i="18"/>
  <c r="O166" i="18"/>
  <c r="N166" i="18"/>
  <c r="M166" i="18"/>
  <c r="L166" i="18"/>
  <c r="I159" i="18"/>
  <c r="K159" i="18" s="1"/>
  <c r="N157" i="18"/>
  <c r="N155" i="18" s="1"/>
  <c r="M157" i="18"/>
  <c r="P157" i="18" s="1"/>
  <c r="L157" i="18"/>
  <c r="O157" i="18" s="1"/>
  <c r="P156" i="18"/>
  <c r="O156" i="18"/>
  <c r="N154" i="18"/>
  <c r="N152" i="18" s="1"/>
  <c r="M154" i="18"/>
  <c r="P154" i="18" s="1"/>
  <c r="L154" i="18"/>
  <c r="O154" i="18" s="1"/>
  <c r="P153" i="18"/>
  <c r="O153" i="18"/>
  <c r="O150" i="18"/>
  <c r="N150" i="18"/>
  <c r="M150" i="18"/>
  <c r="L150" i="18"/>
  <c r="J148" i="18"/>
  <c r="I146" i="18"/>
  <c r="K146" i="18" s="1"/>
  <c r="I145" i="18"/>
  <c r="K145" i="18" s="1"/>
  <c r="I144" i="18"/>
  <c r="N140" i="18"/>
  <c r="N138" i="18" s="1"/>
  <c r="M140" i="18"/>
  <c r="L140" i="18"/>
  <c r="O140" i="18" s="1"/>
  <c r="P139" i="18"/>
  <c r="O139" i="18"/>
  <c r="N137" i="18"/>
  <c r="N135" i="18" s="1"/>
  <c r="M137" i="18"/>
  <c r="L137" i="18"/>
  <c r="O137" i="18" s="1"/>
  <c r="P136" i="18"/>
  <c r="O136" i="18"/>
  <c r="P133" i="18"/>
  <c r="N133" i="18"/>
  <c r="M133" i="18"/>
  <c r="L133" i="18"/>
  <c r="J130" i="18"/>
  <c r="N127" i="18"/>
  <c r="M127" i="18"/>
  <c r="M125" i="18" s="1"/>
  <c r="L127" i="18"/>
  <c r="L125" i="18" s="1"/>
  <c r="P126" i="18"/>
  <c r="O126" i="18"/>
  <c r="N124" i="18"/>
  <c r="N122" i="18" s="1"/>
  <c r="M124" i="18"/>
  <c r="P124" i="18" s="1"/>
  <c r="L124" i="18"/>
  <c r="L122" i="18" s="1"/>
  <c r="O122" i="18" s="1"/>
  <c r="P123" i="18"/>
  <c r="O123" i="18"/>
  <c r="O120" i="18"/>
  <c r="N120" i="18"/>
  <c r="M120" i="18"/>
  <c r="L120" i="18"/>
  <c r="K118" i="18"/>
  <c r="J118" i="18"/>
  <c r="I116" i="18"/>
  <c r="K116" i="18" s="1"/>
  <c r="I115" i="18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K99" i="18" s="1"/>
  <c r="J98" i="18"/>
  <c r="I98" i="18"/>
  <c r="K98" i="18" s="1"/>
  <c r="N96" i="18"/>
  <c r="N94" i="18" s="1"/>
  <c r="M96" i="18"/>
  <c r="P96" i="18" s="1"/>
  <c r="L96" i="18"/>
  <c r="O96" i="18" s="1"/>
  <c r="P95" i="18"/>
  <c r="O95" i="18"/>
  <c r="N93" i="18"/>
  <c r="N91" i="18" s="1"/>
  <c r="M93" i="18"/>
  <c r="M91" i="18" s="1"/>
  <c r="L93" i="18"/>
  <c r="P92" i="18"/>
  <c r="O92" i="18"/>
  <c r="P89" i="18"/>
  <c r="N89" i="18"/>
  <c r="M89" i="18"/>
  <c r="L89" i="18"/>
  <c r="J87" i="18"/>
  <c r="J86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J77" i="18"/>
  <c r="J76" i="18"/>
  <c r="J64" i="18" s="1"/>
  <c r="N74" i="18"/>
  <c r="N72" i="18" s="1"/>
  <c r="M74" i="18"/>
  <c r="P74" i="18" s="1"/>
  <c r="L74" i="18"/>
  <c r="P73" i="18"/>
  <c r="O73" i="18"/>
  <c r="N71" i="18"/>
  <c r="N69" i="18" s="1"/>
  <c r="M71" i="18"/>
  <c r="M69" i="18" s="1"/>
  <c r="L71" i="18"/>
  <c r="L69" i="18" s="1"/>
  <c r="P70" i="18"/>
  <c r="O70" i="18"/>
  <c r="O67" i="18"/>
  <c r="N67" i="18"/>
  <c r="M67" i="18"/>
  <c r="P67" i="18" s="1"/>
  <c r="L67" i="18"/>
  <c r="J65" i="18"/>
  <c r="N61" i="18"/>
  <c r="N59" i="18" s="1"/>
  <c r="M61" i="18"/>
  <c r="L61" i="18"/>
  <c r="L59" i="18" s="1"/>
  <c r="P60" i="18"/>
  <c r="O60" i="18"/>
  <c r="N58" i="18"/>
  <c r="N56" i="18" s="1"/>
  <c r="M58" i="18"/>
  <c r="L58" i="18"/>
  <c r="L56" i="18" s="1"/>
  <c r="P57" i="18"/>
  <c r="O57" i="18"/>
  <c r="P54" i="18"/>
  <c r="N54" i="18"/>
  <c r="M54" i="18"/>
  <c r="L54" i="18"/>
  <c r="O54" i="18" s="1"/>
  <c r="N49" i="18"/>
  <c r="N47" i="18" s="1"/>
  <c r="M49" i="18"/>
  <c r="L49" i="18"/>
  <c r="P48" i="18"/>
  <c r="O48" i="18"/>
  <c r="N46" i="18"/>
  <c r="N44" i="18" s="1"/>
  <c r="M46" i="18"/>
  <c r="L46" i="18"/>
  <c r="L44" i="18" s="1"/>
  <c r="P45" i="18"/>
  <c r="O45" i="18"/>
  <c r="O42" i="18"/>
  <c r="N42" i="18"/>
  <c r="M42" i="18"/>
  <c r="P42" i="18" s="1"/>
  <c r="L42" i="18"/>
  <c r="P36" i="18"/>
  <c r="N36" i="18"/>
  <c r="M36" i="18"/>
  <c r="O35" i="18"/>
  <c r="N35" i="18"/>
  <c r="M35" i="18"/>
  <c r="M34" i="18" s="1"/>
  <c r="P34" i="18" s="1"/>
  <c r="L35" i="18"/>
  <c r="N34" i="18"/>
  <c r="N33" i="18"/>
  <c r="P32" i="18"/>
  <c r="N32" i="18"/>
  <c r="N29" i="18" s="1"/>
  <c r="N28" i="18" s="1"/>
  <c r="M32" i="18"/>
  <c r="L32" i="18"/>
  <c r="O32" i="18" s="1"/>
  <c r="N30" i="18"/>
  <c r="M29" i="18"/>
  <c r="P25" i="18"/>
  <c r="N25" i="18"/>
  <c r="N15" i="18" s="1"/>
  <c r="M25" i="18"/>
  <c r="L25" i="18"/>
  <c r="O25" i="18" s="1"/>
  <c r="O22" i="18"/>
  <c r="N22" i="18"/>
  <c r="M22" i="18"/>
  <c r="L22" i="18"/>
  <c r="N19" i="18"/>
  <c r="L19" i="18"/>
  <c r="O19" i="18" s="1"/>
  <c r="M15" i="18"/>
  <c r="N12" i="18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P809" i="17"/>
  <c r="O809" i="17"/>
  <c r="O808" i="17"/>
  <c r="N808" i="17"/>
  <c r="M808" i="17"/>
  <c r="P808" i="17" s="1"/>
  <c r="L808" i="17"/>
  <c r="N807" i="17"/>
  <c r="N805" i="17" s="1"/>
  <c r="M807" i="17"/>
  <c r="P807" i="17" s="1"/>
  <c r="L807" i="17"/>
  <c r="O807" i="17" s="1"/>
  <c r="N806" i="17"/>
  <c r="M806" i="17"/>
  <c r="P806" i="17" s="1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P796" i="17"/>
  <c r="O796" i="17"/>
  <c r="N796" i="17"/>
  <c r="M796" i="17"/>
  <c r="L796" i="17"/>
  <c r="P791" i="17"/>
  <c r="N791" i="17"/>
  <c r="N788" i="17" s="1"/>
  <c r="N786" i="17" s="1"/>
  <c r="L791" i="17"/>
  <c r="L789" i="17" s="1"/>
  <c r="O789" i="17" s="1"/>
  <c r="P790" i="17"/>
  <c r="O790" i="17"/>
  <c r="M789" i="17"/>
  <c r="P789" i="17" s="1"/>
  <c r="M788" i="17"/>
  <c r="P788" i="17" s="1"/>
  <c r="N787" i="17"/>
  <c r="M787" i="17"/>
  <c r="P787" i="17" s="1"/>
  <c r="L787" i="17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P774" i="17"/>
  <c r="O774" i="17"/>
  <c r="P773" i="17"/>
  <c r="O773" i="17"/>
  <c r="N773" i="17"/>
  <c r="M773" i="17"/>
  <c r="L773" i="17"/>
  <c r="O772" i="17"/>
  <c r="N772" i="17"/>
  <c r="M772" i="17"/>
  <c r="P772" i="17" s="1"/>
  <c r="L772" i="17"/>
  <c r="N771" i="17"/>
  <c r="M771" i="17"/>
  <c r="L771" i="17"/>
  <c r="O771" i="17" s="1"/>
  <c r="L770" i="17"/>
  <c r="O770" i="17" s="1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P758" i="17"/>
  <c r="O758" i="17"/>
  <c r="P757" i="17"/>
  <c r="O757" i="17"/>
  <c r="N757" i="17"/>
  <c r="M757" i="17"/>
  <c r="L757" i="17"/>
  <c r="O756" i="17"/>
  <c r="N756" i="17"/>
  <c r="M756" i="17"/>
  <c r="P756" i="17" s="1"/>
  <c r="L756" i="17"/>
  <c r="N755" i="17"/>
  <c r="M755" i="17"/>
  <c r="L755" i="17"/>
  <c r="O755" i="17" s="1"/>
  <c r="L754" i="17"/>
  <c r="O754" i="17" s="1"/>
  <c r="K753" i="17"/>
  <c r="J753" i="17"/>
  <c r="P749" i="17"/>
  <c r="O749" i="17"/>
  <c r="P748" i="17"/>
  <c r="O748" i="17"/>
  <c r="P747" i="17"/>
  <c r="N747" i="17"/>
  <c r="M747" i="17"/>
  <c r="L747" i="17"/>
  <c r="O747" i="17" s="1"/>
  <c r="P742" i="17"/>
  <c r="O742" i="17"/>
  <c r="N742" i="17"/>
  <c r="P741" i="17"/>
  <c r="O741" i="17"/>
  <c r="P740" i="17"/>
  <c r="O740" i="17"/>
  <c r="N740" i="17"/>
  <c r="M740" i="17"/>
  <c r="L740" i="17"/>
  <c r="O739" i="17"/>
  <c r="N739" i="17"/>
  <c r="M739" i="17"/>
  <c r="P739" i="17" s="1"/>
  <c r="L739" i="17"/>
  <c r="N738" i="17"/>
  <c r="M738" i="17"/>
  <c r="L738" i="17"/>
  <c r="O738" i="17" s="1"/>
  <c r="L737" i="17"/>
  <c r="O737" i="17" s="1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P695" i="17"/>
  <c r="N695" i="17"/>
  <c r="M695" i="17"/>
  <c r="L695" i="17"/>
  <c r="O695" i="17" s="1"/>
  <c r="N690" i="17"/>
  <c r="L690" i="17"/>
  <c r="O690" i="17" s="1"/>
  <c r="N688" i="17"/>
  <c r="N687" i="17"/>
  <c r="N686" i="17"/>
  <c r="N685" i="17" s="1"/>
  <c r="M686" i="17"/>
  <c r="L686" i="17"/>
  <c r="O686" i="17" s="1"/>
  <c r="J679" i="17"/>
  <c r="J678" i="17" s="1"/>
  <c r="I678" i="17"/>
  <c r="K678" i="17" s="1"/>
  <c r="J675" i="17"/>
  <c r="I671" i="17"/>
  <c r="K671" i="17" s="1"/>
  <c r="I670" i="17"/>
  <c r="K670" i="17" s="1"/>
  <c r="I669" i="17"/>
  <c r="K674" i="17" s="1"/>
  <c r="P667" i="17"/>
  <c r="O667" i="17"/>
  <c r="P666" i="17"/>
  <c r="O666" i="17"/>
  <c r="N665" i="17"/>
  <c r="M665" i="17"/>
  <c r="P665" i="17" s="1"/>
  <c r="L665" i="17"/>
  <c r="O665" i="17" s="1"/>
  <c r="N660" i="17"/>
  <c r="L660" i="17"/>
  <c r="L657" i="17" s="1"/>
  <c r="O657" i="17" s="1"/>
  <c r="P659" i="17"/>
  <c r="O659" i="17"/>
  <c r="N658" i="17"/>
  <c r="N657" i="17"/>
  <c r="P656" i="17"/>
  <c r="N656" i="17"/>
  <c r="N655" i="17" s="1"/>
  <c r="M656" i="17"/>
  <c r="L656" i="17"/>
  <c r="O656" i="17" s="1"/>
  <c r="I654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N634" i="17"/>
  <c r="N632" i="17" s="1"/>
  <c r="L634" i="17"/>
  <c r="M634" i="17" s="1"/>
  <c r="P633" i="17"/>
  <c r="O633" i="17"/>
  <c r="N631" i="17"/>
  <c r="O630" i="17"/>
  <c r="N630" i="17"/>
  <c r="N629" i="17" s="1"/>
  <c r="M630" i="17"/>
  <c r="P630" i="17" s="1"/>
  <c r="L630" i="17"/>
  <c r="J621" i="17"/>
  <c r="I621" i="17"/>
  <c r="J620" i="17"/>
  <c r="I620" i="17"/>
  <c r="K613" i="17"/>
  <c r="J613" i="17"/>
  <c r="K612" i="17"/>
  <c r="J612" i="17"/>
  <c r="K611" i="17"/>
  <c r="J611" i="17"/>
  <c r="J604" i="17"/>
  <c r="J603" i="17"/>
  <c r="J593" i="17" s="1"/>
  <c r="J592" i="17" s="1"/>
  <c r="J596" i="17"/>
  <c r="J594" i="17" s="1"/>
  <c r="J595" i="17"/>
  <c r="I594" i="17"/>
  <c r="K594" i="17" s="1"/>
  <c r="I593" i="17"/>
  <c r="I592" i="17" s="1"/>
  <c r="K592" i="17" s="1"/>
  <c r="J583" i="17"/>
  <c r="J577" i="17" s="1"/>
  <c r="J582" i="17"/>
  <c r="I577" i="17"/>
  <c r="J576" i="17"/>
  <c r="I576" i="17"/>
  <c r="I559" i="17" s="1"/>
  <c r="J569" i="17"/>
  <c r="I569" i="17"/>
  <c r="J568" i="17"/>
  <c r="I568" i="17"/>
  <c r="J561" i="17"/>
  <c r="I561" i="17"/>
  <c r="J560" i="17"/>
  <c r="I560" i="17"/>
  <c r="P557" i="17"/>
  <c r="L557" i="17"/>
  <c r="L555" i="17" s="1"/>
  <c r="O555" i="17" s="1"/>
  <c r="P556" i="17"/>
  <c r="O556" i="17"/>
  <c r="N555" i="17"/>
  <c r="N545" i="17" s="1"/>
  <c r="N544" i="17" s="1"/>
  <c r="M555" i="17"/>
  <c r="P555" i="17" s="1"/>
  <c r="N549" i="17"/>
  <c r="L549" i="17"/>
  <c r="L547" i="17" s="1"/>
  <c r="O547" i="17" s="1"/>
  <c r="P548" i="17"/>
  <c r="O548" i="17"/>
  <c r="N547" i="17"/>
  <c r="N546" i="17"/>
  <c r="M545" i="17"/>
  <c r="P545" i="17" s="1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K537" i="17" s="1"/>
  <c r="P535" i="17"/>
  <c r="L535" i="17"/>
  <c r="P534" i="17"/>
  <c r="O534" i="17"/>
  <c r="N533" i="17"/>
  <c r="M533" i="17"/>
  <c r="P533" i="17" s="1"/>
  <c r="P528" i="17"/>
  <c r="N528" i="17"/>
  <c r="L528" i="17"/>
  <c r="O528" i="17" s="1"/>
  <c r="P527" i="17"/>
  <c r="O527" i="17"/>
  <c r="N526" i="17"/>
  <c r="M526" i="17"/>
  <c r="P526" i="17" s="1"/>
  <c r="P525" i="17"/>
  <c r="N525" i="17"/>
  <c r="M525" i="17"/>
  <c r="P524" i="17"/>
  <c r="O524" i="17"/>
  <c r="N524" i="17"/>
  <c r="M524" i="17"/>
  <c r="L524" i="17"/>
  <c r="P523" i="17"/>
  <c r="N523" i="17"/>
  <c r="M523" i="17"/>
  <c r="K517" i="17"/>
  <c r="J517" i="17"/>
  <c r="K516" i="17"/>
  <c r="P514" i="17"/>
  <c r="O514" i="17"/>
  <c r="P513" i="17"/>
  <c r="O513" i="17"/>
  <c r="N512" i="17"/>
  <c r="M512" i="17"/>
  <c r="P512" i="17" s="1"/>
  <c r="L512" i="17"/>
  <c r="O512" i="17" s="1"/>
  <c r="P507" i="17"/>
  <c r="O507" i="17"/>
  <c r="N507" i="17"/>
  <c r="N505" i="17" s="1"/>
  <c r="P506" i="17"/>
  <c r="O506" i="17"/>
  <c r="P505" i="17"/>
  <c r="O505" i="17"/>
  <c r="M505" i="17"/>
  <c r="L505" i="17"/>
  <c r="P504" i="17"/>
  <c r="O504" i="17"/>
  <c r="N504" i="17"/>
  <c r="M504" i="17"/>
  <c r="L504" i="17"/>
  <c r="O503" i="17"/>
  <c r="N503" i="17"/>
  <c r="N502" i="17" s="1"/>
  <c r="M503" i="17"/>
  <c r="P503" i="17" s="1"/>
  <c r="L503" i="17"/>
  <c r="M502" i="17"/>
  <c r="P502" i="17" s="1"/>
  <c r="L502" i="17"/>
  <c r="O502" i="17" s="1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P477" i="17"/>
  <c r="N477" i="17"/>
  <c r="M477" i="17"/>
  <c r="L477" i="17"/>
  <c r="O477" i="17" s="1"/>
  <c r="N472" i="17"/>
  <c r="N470" i="17" s="1"/>
  <c r="L472" i="17"/>
  <c r="O472" i="17" s="1"/>
  <c r="P471" i="17"/>
  <c r="O471" i="17"/>
  <c r="N469" i="17"/>
  <c r="P468" i="17"/>
  <c r="O468" i="17"/>
  <c r="N468" i="17"/>
  <c r="M468" i="17"/>
  <c r="L468" i="17"/>
  <c r="N467" i="17"/>
  <c r="J466" i="17"/>
  <c r="I466" i="17"/>
  <c r="K466" i="17" s="1"/>
  <c r="J465" i="17"/>
  <c r="I465" i="17"/>
  <c r="K465" i="17" s="1"/>
  <c r="I464" i="17"/>
  <c r="I463" i="17"/>
  <c r="I462" i="17"/>
  <c r="I443" i="17" s="1"/>
  <c r="I460" i="17"/>
  <c r="I442" i="17" s="1"/>
  <c r="K442" i="17" s="1"/>
  <c r="K458" i="17"/>
  <c r="P456" i="17"/>
  <c r="L456" i="17"/>
  <c r="L454" i="17" s="1"/>
  <c r="O454" i="17" s="1"/>
  <c r="P455" i="17"/>
  <c r="O455" i="17"/>
  <c r="N454" i="17"/>
  <c r="M454" i="17"/>
  <c r="P454" i="17" s="1"/>
  <c r="N449" i="17"/>
  <c r="L449" i="17"/>
  <c r="P448" i="17"/>
  <c r="O448" i="17"/>
  <c r="N447" i="17"/>
  <c r="N446" i="17"/>
  <c r="P445" i="17"/>
  <c r="N445" i="17"/>
  <c r="M445" i="17"/>
  <c r="L445" i="17"/>
  <c r="N444" i="17"/>
  <c r="J443" i="17"/>
  <c r="J442" i="17"/>
  <c r="I441" i="17"/>
  <c r="K441" i="17" s="1"/>
  <c r="I440" i="17"/>
  <c r="K440" i="17" s="1"/>
  <c r="I439" i="17"/>
  <c r="K439" i="17" s="1"/>
  <c r="I438" i="17"/>
  <c r="I437" i="17"/>
  <c r="K437" i="17" s="1"/>
  <c r="I435" i="17"/>
  <c r="I433" i="17" s="1"/>
  <c r="I417" i="17" s="1"/>
  <c r="J434" i="17"/>
  <c r="J418" i="17" s="1"/>
  <c r="P431" i="17"/>
  <c r="L431" i="17"/>
  <c r="P430" i="17"/>
  <c r="O430" i="17"/>
  <c r="N429" i="17"/>
  <c r="M429" i="17"/>
  <c r="P429" i="17" s="1"/>
  <c r="N424" i="17"/>
  <c r="N421" i="17" s="1"/>
  <c r="N419" i="17" s="1"/>
  <c r="L424" i="17"/>
  <c r="P423" i="17"/>
  <c r="O423" i="17"/>
  <c r="N422" i="17"/>
  <c r="N420" i="17"/>
  <c r="M420" i="17"/>
  <c r="L420" i="17"/>
  <c r="O420" i="17" s="1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N405" i="17" s="1"/>
  <c r="M407" i="17"/>
  <c r="P407" i="17" s="1"/>
  <c r="L407" i="17"/>
  <c r="O407" i="17" s="1"/>
  <c r="P406" i="17"/>
  <c r="O406" i="17"/>
  <c r="P403" i="17"/>
  <c r="O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P397" i="17" s="1"/>
  <c r="L397" i="17"/>
  <c r="P396" i="17"/>
  <c r="O396" i="17"/>
  <c r="N394" i="17"/>
  <c r="N392" i="17" s="1"/>
  <c r="M394" i="17"/>
  <c r="P394" i="17" s="1"/>
  <c r="L394" i="17"/>
  <c r="P393" i="17"/>
  <c r="O393" i="17"/>
  <c r="N390" i="17"/>
  <c r="M390" i="17"/>
  <c r="L390" i="17"/>
  <c r="O390" i="17" s="1"/>
  <c r="K388" i="17"/>
  <c r="J388" i="17"/>
  <c r="I388" i="17"/>
  <c r="J385" i="17"/>
  <c r="I385" i="17"/>
  <c r="K382" i="17"/>
  <c r="J382" i="17"/>
  <c r="J381" i="17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M353" i="17"/>
  <c r="M351" i="17" s="1"/>
  <c r="L353" i="17"/>
  <c r="P352" i="17"/>
  <c r="O352" i="17"/>
  <c r="N350" i="17"/>
  <c r="N348" i="17" s="1"/>
  <c r="M350" i="17"/>
  <c r="L350" i="17"/>
  <c r="P349" i="17"/>
  <c r="O349" i="17"/>
  <c r="P346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M336" i="17"/>
  <c r="P336" i="17" s="1"/>
  <c r="L336" i="17"/>
  <c r="O336" i="17" s="1"/>
  <c r="P335" i="17"/>
  <c r="O335" i="17"/>
  <c r="N333" i="17"/>
  <c r="N331" i="17" s="1"/>
  <c r="M333" i="17"/>
  <c r="L333" i="17"/>
  <c r="P332" i="17"/>
  <c r="O332" i="17"/>
  <c r="O329" i="17"/>
  <c r="N329" i="17"/>
  <c r="M329" i="17"/>
  <c r="P329" i="17" s="1"/>
  <c r="L329" i="17"/>
  <c r="I327" i="17"/>
  <c r="I325" i="17"/>
  <c r="I314" i="17" s="1"/>
  <c r="K314" i="17" s="1"/>
  <c r="N323" i="17"/>
  <c r="N321" i="17" s="1"/>
  <c r="M323" i="17"/>
  <c r="P323" i="17" s="1"/>
  <c r="L323" i="17"/>
  <c r="O323" i="17" s="1"/>
  <c r="P322" i="17"/>
  <c r="O322" i="17"/>
  <c r="N320" i="17"/>
  <c r="N318" i="17" s="1"/>
  <c r="M320" i="17"/>
  <c r="L320" i="17"/>
  <c r="O320" i="17" s="1"/>
  <c r="P319" i="17"/>
  <c r="O319" i="17"/>
  <c r="P316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O306" i="17" s="1"/>
  <c r="P305" i="17"/>
  <c r="O305" i="17"/>
  <c r="N303" i="17"/>
  <c r="N301" i="17" s="1"/>
  <c r="M303" i="17"/>
  <c r="M301" i="17" s="1"/>
  <c r="L303" i="17"/>
  <c r="L301" i="17" s="1"/>
  <c r="P302" i="17"/>
  <c r="O302" i="17"/>
  <c r="P299" i="17"/>
  <c r="N299" i="17"/>
  <c r="M299" i="17"/>
  <c r="L299" i="17"/>
  <c r="O299" i="17" s="1"/>
  <c r="J297" i="17"/>
  <c r="I294" i="17"/>
  <c r="K294" i="17" s="1"/>
  <c r="I293" i="17"/>
  <c r="K293" i="17" s="1"/>
  <c r="I291" i="17"/>
  <c r="K291" i="17" s="1"/>
  <c r="I290" i="17"/>
  <c r="K290" i="17" s="1"/>
  <c r="I288" i="17"/>
  <c r="I275" i="17" s="1"/>
  <c r="I287" i="17"/>
  <c r="I276" i="17" s="1"/>
  <c r="N285" i="17"/>
  <c r="N283" i="17" s="1"/>
  <c r="M285" i="17"/>
  <c r="P285" i="17" s="1"/>
  <c r="L285" i="17"/>
  <c r="O285" i="17" s="1"/>
  <c r="P284" i="17"/>
  <c r="O284" i="17"/>
  <c r="N282" i="17"/>
  <c r="N280" i="17" s="1"/>
  <c r="M282" i="17"/>
  <c r="M280" i="17" s="1"/>
  <c r="L282" i="17"/>
  <c r="P281" i="17"/>
  <c r="O281" i="17"/>
  <c r="P278" i="17"/>
  <c r="N278" i="17"/>
  <c r="M278" i="17"/>
  <c r="L278" i="17"/>
  <c r="O278" i="17" s="1"/>
  <c r="J276" i="17"/>
  <c r="I271" i="17"/>
  <c r="K271" i="17" s="1"/>
  <c r="N269" i="17"/>
  <c r="N267" i="17" s="1"/>
  <c r="M269" i="17"/>
  <c r="P269" i="17" s="1"/>
  <c r="L269" i="17"/>
  <c r="O269" i="17" s="1"/>
  <c r="P268" i="17"/>
  <c r="O268" i="17"/>
  <c r="N266" i="17"/>
  <c r="M266" i="17"/>
  <c r="M264" i="17" s="1"/>
  <c r="L266" i="17"/>
  <c r="L264" i="17" s="1"/>
  <c r="P265" i="17"/>
  <c r="O265" i="17"/>
  <c r="P262" i="17"/>
  <c r="N262" i="17"/>
  <c r="M262" i="17"/>
  <c r="L262" i="17"/>
  <c r="O262" i="17" s="1"/>
  <c r="J260" i="17"/>
  <c r="K258" i="17"/>
  <c r="K257" i="17"/>
  <c r="I255" i="17"/>
  <c r="K255" i="17" s="1"/>
  <c r="L253" i="17"/>
  <c r="L252" i="17"/>
  <c r="L251" i="17"/>
  <c r="L250" i="17"/>
  <c r="P249" i="17"/>
  <c r="N249" i="17"/>
  <c r="N227" i="17" s="1"/>
  <c r="J248" i="17"/>
  <c r="K247" i="17"/>
  <c r="K246" i="17"/>
  <c r="I244" i="17"/>
  <c r="L242" i="17"/>
  <c r="L241" i="17"/>
  <c r="L240" i="17"/>
  <c r="L239" i="17"/>
  <c r="P238" i="17"/>
  <c r="N238" i="17"/>
  <c r="J237" i="17"/>
  <c r="J226" i="17" s="1"/>
  <c r="J180" i="17" s="1"/>
  <c r="K236" i="17"/>
  <c r="J236" i="17"/>
  <c r="I236" i="17"/>
  <c r="K235" i="17"/>
  <c r="J235" i="17"/>
  <c r="I235" i="17"/>
  <c r="J233" i="17"/>
  <c r="N231" i="17"/>
  <c r="N230" i="17"/>
  <c r="N229" i="17"/>
  <c r="N228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P191" i="17"/>
  <c r="L191" i="17"/>
  <c r="O191" i="17" s="1"/>
  <c r="J190" i="17"/>
  <c r="N189" i="17"/>
  <c r="N187" i="17" s="1"/>
  <c r="M189" i="17"/>
  <c r="L189" i="17"/>
  <c r="O189" i="17" s="1"/>
  <c r="P188" i="17"/>
  <c r="O188" i="17"/>
  <c r="N186" i="17"/>
  <c r="N184" i="17" s="1"/>
  <c r="M186" i="17"/>
  <c r="M184" i="17" s="1"/>
  <c r="L186" i="17"/>
  <c r="L184" i="17" s="1"/>
  <c r="P185" i="17"/>
  <c r="O185" i="17"/>
  <c r="O182" i="17"/>
  <c r="N182" i="17"/>
  <c r="M182" i="17"/>
  <c r="L182" i="17"/>
  <c r="J177" i="17"/>
  <c r="I176" i="17"/>
  <c r="K176" i="17" s="1"/>
  <c r="J174" i="17"/>
  <c r="J164" i="17" s="1"/>
  <c r="N173" i="17"/>
  <c r="N171" i="17" s="1"/>
  <c r="M173" i="17"/>
  <c r="L173" i="17"/>
  <c r="P172" i="17"/>
  <c r="O172" i="17"/>
  <c r="N170" i="17"/>
  <c r="N168" i="17" s="1"/>
  <c r="M170" i="17"/>
  <c r="M168" i="17" s="1"/>
  <c r="L170" i="17"/>
  <c r="L168" i="17" s="1"/>
  <c r="P169" i="17"/>
  <c r="O169" i="17"/>
  <c r="O166" i="17"/>
  <c r="N166" i="17"/>
  <c r="M166" i="17"/>
  <c r="L166" i="17"/>
  <c r="I159" i="17"/>
  <c r="K159" i="17" s="1"/>
  <c r="N157" i="17"/>
  <c r="N155" i="17" s="1"/>
  <c r="M157" i="17"/>
  <c r="P157" i="17" s="1"/>
  <c r="L157" i="17"/>
  <c r="O157" i="17" s="1"/>
  <c r="P156" i="17"/>
  <c r="O156" i="17"/>
  <c r="N154" i="17"/>
  <c r="M154" i="17"/>
  <c r="M152" i="17" s="1"/>
  <c r="L154" i="17"/>
  <c r="L152" i="17" s="1"/>
  <c r="P153" i="17"/>
  <c r="O153" i="17"/>
  <c r="O150" i="17"/>
  <c r="N150" i="17"/>
  <c r="M150" i="17"/>
  <c r="L150" i="17"/>
  <c r="J148" i="17"/>
  <c r="I146" i="17"/>
  <c r="I130" i="17" s="1"/>
  <c r="K130" i="17" s="1"/>
  <c r="I145" i="17"/>
  <c r="I143" i="17" s="1"/>
  <c r="K143" i="17" s="1"/>
  <c r="I144" i="17"/>
  <c r="N140" i="17"/>
  <c r="N138" i="17" s="1"/>
  <c r="M140" i="17"/>
  <c r="L140" i="17"/>
  <c r="O140" i="17" s="1"/>
  <c r="P139" i="17"/>
  <c r="O139" i="17"/>
  <c r="N137" i="17"/>
  <c r="N135" i="17" s="1"/>
  <c r="M137" i="17"/>
  <c r="M135" i="17" s="1"/>
  <c r="P135" i="17" s="1"/>
  <c r="L137" i="17"/>
  <c r="P136" i="17"/>
  <c r="O136" i="17"/>
  <c r="P133" i="17"/>
  <c r="N133" i="17"/>
  <c r="M133" i="17"/>
  <c r="L133" i="17"/>
  <c r="O133" i="17" s="1"/>
  <c r="J130" i="17"/>
  <c r="N127" i="17"/>
  <c r="N125" i="17" s="1"/>
  <c r="M127" i="17"/>
  <c r="M125" i="17" s="1"/>
  <c r="P125" i="17" s="1"/>
  <c r="L127" i="17"/>
  <c r="O127" i="17" s="1"/>
  <c r="P126" i="17"/>
  <c r="O126" i="17"/>
  <c r="N124" i="17"/>
  <c r="N122" i="17" s="1"/>
  <c r="M124" i="17"/>
  <c r="L124" i="17"/>
  <c r="L122" i="17" s="1"/>
  <c r="O122" i="17" s="1"/>
  <c r="P123" i="17"/>
  <c r="O123" i="17"/>
  <c r="P120" i="17"/>
  <c r="O120" i="17"/>
  <c r="N120" i="17"/>
  <c r="M120" i="17"/>
  <c r="L120" i="17"/>
  <c r="J118" i="17"/>
  <c r="K118" i="17" s="1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I87" i="17" s="1"/>
  <c r="K87" i="17" s="1"/>
  <c r="J98" i="17"/>
  <c r="J86" i="17" s="1"/>
  <c r="I98" i="17"/>
  <c r="I86" i="17" s="1"/>
  <c r="K86" i="17" s="1"/>
  <c r="N96" i="17"/>
  <c r="N94" i="17" s="1"/>
  <c r="M96" i="17"/>
  <c r="P96" i="17" s="1"/>
  <c r="L96" i="17"/>
  <c r="L94" i="17" s="1"/>
  <c r="O94" i="17" s="1"/>
  <c r="P95" i="17"/>
  <c r="O95" i="17"/>
  <c r="N93" i="17"/>
  <c r="M93" i="17"/>
  <c r="M91" i="17" s="1"/>
  <c r="L93" i="17"/>
  <c r="L91" i="17" s="1"/>
  <c r="P92" i="17"/>
  <c r="O92" i="17"/>
  <c r="O89" i="17"/>
  <c r="N89" i="17"/>
  <c r="M89" i="17"/>
  <c r="P89" i="17" s="1"/>
  <c r="L89" i="17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K78" i="17" s="1"/>
  <c r="J77" i="17"/>
  <c r="J65" i="17" s="1"/>
  <c r="J76" i="17"/>
  <c r="N74" i="17"/>
  <c r="N72" i="17" s="1"/>
  <c r="M74" i="17"/>
  <c r="P74" i="17" s="1"/>
  <c r="L74" i="17"/>
  <c r="O74" i="17" s="1"/>
  <c r="P73" i="17"/>
  <c r="O73" i="17"/>
  <c r="N71" i="17"/>
  <c r="N69" i="17" s="1"/>
  <c r="M71" i="17"/>
  <c r="L71" i="17"/>
  <c r="L69" i="17" s="1"/>
  <c r="P70" i="17"/>
  <c r="O70" i="17"/>
  <c r="P67" i="17"/>
  <c r="N67" i="17"/>
  <c r="M67" i="17"/>
  <c r="L67" i="17"/>
  <c r="O67" i="17" s="1"/>
  <c r="J64" i="17"/>
  <c r="N61" i="17"/>
  <c r="N59" i="17" s="1"/>
  <c r="M61" i="17"/>
  <c r="P61" i="17" s="1"/>
  <c r="L61" i="17"/>
  <c r="O61" i="17" s="1"/>
  <c r="P60" i="17"/>
  <c r="O60" i="17"/>
  <c r="N58" i="17"/>
  <c r="M58" i="17"/>
  <c r="M56" i="17" s="1"/>
  <c r="L58" i="17"/>
  <c r="P57" i="17"/>
  <c r="O57" i="17"/>
  <c r="P54" i="17"/>
  <c r="O54" i="17"/>
  <c r="N54" i="17"/>
  <c r="M54" i="17"/>
  <c r="L54" i="17"/>
  <c r="N49" i="17"/>
  <c r="N47" i="17" s="1"/>
  <c r="M49" i="17"/>
  <c r="P49" i="17" s="1"/>
  <c r="L49" i="17"/>
  <c r="O49" i="17" s="1"/>
  <c r="P48" i="17"/>
  <c r="O48" i="17"/>
  <c r="N46" i="17"/>
  <c r="M46" i="17"/>
  <c r="L46" i="17"/>
  <c r="P45" i="17"/>
  <c r="O45" i="17"/>
  <c r="P42" i="17"/>
  <c r="N42" i="17"/>
  <c r="M42" i="17"/>
  <c r="L42" i="17"/>
  <c r="O42" i="17" s="1"/>
  <c r="N36" i="17"/>
  <c r="M36" i="17"/>
  <c r="P36" i="17" s="1"/>
  <c r="P35" i="17"/>
  <c r="N35" i="17"/>
  <c r="M35" i="17"/>
  <c r="L35" i="17"/>
  <c r="N34" i="17"/>
  <c r="N33" i="17"/>
  <c r="N30" i="17" s="1"/>
  <c r="N32" i="17"/>
  <c r="M32" i="17"/>
  <c r="L32" i="17"/>
  <c r="L12" i="17" s="1"/>
  <c r="N29" i="17"/>
  <c r="N28" i="17"/>
  <c r="O25" i="17"/>
  <c r="N25" i="17"/>
  <c r="M25" i="17"/>
  <c r="M19" i="17" s="1"/>
  <c r="L25" i="17"/>
  <c r="L15" i="17" s="1"/>
  <c r="P22" i="17"/>
  <c r="N22" i="17"/>
  <c r="M22" i="17"/>
  <c r="L22" i="17"/>
  <c r="O22" i="17" s="1"/>
  <c r="L19" i="17"/>
  <c r="N15" i="17"/>
  <c r="M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P809" i="16"/>
  <c r="O809" i="16"/>
  <c r="O808" i="16"/>
  <c r="N808" i="16"/>
  <c r="M808" i="16"/>
  <c r="P808" i="16" s="1"/>
  <c r="L808" i="16"/>
  <c r="N807" i="16"/>
  <c r="N805" i="16" s="1"/>
  <c r="M807" i="16"/>
  <c r="P807" i="16" s="1"/>
  <c r="L807" i="16"/>
  <c r="O807" i="16" s="1"/>
  <c r="N806" i="16"/>
  <c r="M806" i="16"/>
  <c r="L806" i="16"/>
  <c r="O806" i="16" s="1"/>
  <c r="K804" i="16"/>
  <c r="J804" i="16"/>
  <c r="K802" i="16"/>
  <c r="J801" i="16"/>
  <c r="J800" i="16"/>
  <c r="J785" i="16" s="1"/>
  <c r="I800" i="16"/>
  <c r="K800" i="16" s="1"/>
  <c r="P798" i="16"/>
  <c r="O798" i="16"/>
  <c r="P797" i="16"/>
  <c r="O797" i="16"/>
  <c r="O796" i="16"/>
  <c r="N796" i="16"/>
  <c r="M796" i="16"/>
  <c r="P796" i="16" s="1"/>
  <c r="L796" i="16"/>
  <c r="P791" i="16"/>
  <c r="N791" i="16"/>
  <c r="L791" i="16"/>
  <c r="L788" i="16" s="1"/>
  <c r="O788" i="16" s="1"/>
  <c r="P790" i="16"/>
  <c r="O790" i="16"/>
  <c r="N789" i="16"/>
  <c r="M789" i="16"/>
  <c r="P789" i="16" s="1"/>
  <c r="N788" i="16"/>
  <c r="N786" i="16" s="1"/>
  <c r="M788" i="16"/>
  <c r="P788" i="16" s="1"/>
  <c r="P787" i="16"/>
  <c r="N787" i="16"/>
  <c r="M787" i="16"/>
  <c r="M786" i="16" s="1"/>
  <c r="P786" i="16" s="1"/>
  <c r="L787" i="16"/>
  <c r="P782" i="16"/>
  <c r="O782" i="16"/>
  <c r="P781" i="16"/>
  <c r="O781" i="16"/>
  <c r="P780" i="16"/>
  <c r="N780" i="16"/>
  <c r="M780" i="16"/>
  <c r="L780" i="16"/>
  <c r="O780" i="16" s="1"/>
  <c r="P775" i="16"/>
  <c r="O775" i="16"/>
  <c r="N775" i="16"/>
  <c r="N773" i="16" s="1"/>
  <c r="P774" i="16"/>
  <c r="O774" i="16"/>
  <c r="O773" i="16"/>
  <c r="M773" i="16"/>
  <c r="P773" i="16" s="1"/>
  <c r="L773" i="16"/>
  <c r="N772" i="16"/>
  <c r="M772" i="16"/>
  <c r="P772" i="16" s="1"/>
  <c r="L772" i="16"/>
  <c r="O772" i="16" s="1"/>
  <c r="N771" i="16"/>
  <c r="M771" i="16"/>
  <c r="P771" i="16" s="1"/>
  <c r="L771" i="16"/>
  <c r="O771" i="16" s="1"/>
  <c r="P770" i="16"/>
  <c r="M770" i="16"/>
  <c r="L770" i="16"/>
  <c r="O770" i="16" s="1"/>
  <c r="K769" i="16"/>
  <c r="J769" i="16"/>
  <c r="P766" i="16"/>
  <c r="O766" i="16"/>
  <c r="P765" i="16"/>
  <c r="O765" i="16"/>
  <c r="P764" i="16"/>
  <c r="N764" i="16"/>
  <c r="M764" i="16"/>
  <c r="L764" i="16"/>
  <c r="O764" i="16" s="1"/>
  <c r="P759" i="16"/>
  <c r="O759" i="16"/>
  <c r="N759" i="16"/>
  <c r="N757" i="16" s="1"/>
  <c r="P758" i="16"/>
  <c r="O758" i="16"/>
  <c r="O757" i="16"/>
  <c r="M757" i="16"/>
  <c r="P757" i="16" s="1"/>
  <c r="L757" i="16"/>
  <c r="N756" i="16"/>
  <c r="M756" i="16"/>
  <c r="P756" i="16" s="1"/>
  <c r="L756" i="16"/>
  <c r="O756" i="16" s="1"/>
  <c r="N755" i="16"/>
  <c r="M755" i="16"/>
  <c r="P755" i="16" s="1"/>
  <c r="L755" i="16"/>
  <c r="O755" i="16" s="1"/>
  <c r="P754" i="16"/>
  <c r="M754" i="16"/>
  <c r="L754" i="16"/>
  <c r="O754" i="16" s="1"/>
  <c r="K753" i="16"/>
  <c r="J753" i="16"/>
  <c r="P749" i="16"/>
  <c r="O749" i="16"/>
  <c r="P748" i="16"/>
  <c r="O748" i="16"/>
  <c r="P747" i="16"/>
  <c r="N747" i="16"/>
  <c r="M747" i="16"/>
  <c r="L747" i="16"/>
  <c r="O747" i="16" s="1"/>
  <c r="P742" i="16"/>
  <c r="O742" i="16"/>
  <c r="N742" i="16"/>
  <c r="N740" i="16" s="1"/>
  <c r="P741" i="16"/>
  <c r="O741" i="16"/>
  <c r="O740" i="16"/>
  <c r="M740" i="16"/>
  <c r="P740" i="16" s="1"/>
  <c r="L740" i="16"/>
  <c r="N739" i="16"/>
  <c r="M739" i="16"/>
  <c r="P739" i="16" s="1"/>
  <c r="L739" i="16"/>
  <c r="O739" i="16" s="1"/>
  <c r="N738" i="16"/>
  <c r="M738" i="16"/>
  <c r="P738" i="16" s="1"/>
  <c r="L738" i="16"/>
  <c r="O738" i="16" s="1"/>
  <c r="P737" i="16"/>
  <c r="M737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P695" i="16"/>
  <c r="N695" i="16"/>
  <c r="M695" i="16"/>
  <c r="L695" i="16"/>
  <c r="O695" i="16" s="1"/>
  <c r="N690" i="16"/>
  <c r="L690" i="16"/>
  <c r="L688" i="16" s="1"/>
  <c r="N687" i="16"/>
  <c r="N686" i="16"/>
  <c r="M686" i="16"/>
  <c r="L686" i="16"/>
  <c r="O686" i="16" s="1"/>
  <c r="J679" i="16"/>
  <c r="J678" i="16" s="1"/>
  <c r="I678" i="16"/>
  <c r="K678" i="16" s="1"/>
  <c r="J675" i="16"/>
  <c r="J669" i="16" s="1"/>
  <c r="I671" i="16"/>
  <c r="K671" i="16" s="1"/>
  <c r="I670" i="16"/>
  <c r="K670" i="16" s="1"/>
  <c r="I669" i="16"/>
  <c r="K674" i="16" s="1"/>
  <c r="P667" i="16"/>
  <c r="O667" i="16"/>
  <c r="P666" i="16"/>
  <c r="O666" i="16"/>
  <c r="N665" i="16"/>
  <c r="M665" i="16"/>
  <c r="P665" i="16" s="1"/>
  <c r="L665" i="16"/>
  <c r="O665" i="16" s="1"/>
  <c r="P660" i="16"/>
  <c r="N660" i="16"/>
  <c r="L660" i="16"/>
  <c r="O660" i="16" s="1"/>
  <c r="P659" i="16"/>
  <c r="O659" i="16"/>
  <c r="P658" i="16"/>
  <c r="N658" i="16"/>
  <c r="M658" i="16"/>
  <c r="L658" i="16"/>
  <c r="O658" i="16" s="1"/>
  <c r="P657" i="16"/>
  <c r="N657" i="16"/>
  <c r="M657" i="16"/>
  <c r="P656" i="16"/>
  <c r="O656" i="16"/>
  <c r="N656" i="16"/>
  <c r="N655" i="16" s="1"/>
  <c r="M656" i="16"/>
  <c r="L656" i="16"/>
  <c r="P655" i="16"/>
  <c r="M655" i="16"/>
  <c r="J654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L639" i="16" s="1"/>
  <c r="O639" i="16" s="1"/>
  <c r="P640" i="16"/>
  <c r="O640" i="16"/>
  <c r="N639" i="16"/>
  <c r="M639" i="16"/>
  <c r="P639" i="16" s="1"/>
  <c r="N634" i="16"/>
  <c r="N631" i="16" s="1"/>
  <c r="L634" i="16"/>
  <c r="L632" i="16" s="1"/>
  <c r="P633" i="16"/>
  <c r="O633" i="16"/>
  <c r="N630" i="16"/>
  <c r="M630" i="16"/>
  <c r="P630" i="16" s="1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I594" i="16"/>
  <c r="K594" i="16" s="1"/>
  <c r="J593" i="16"/>
  <c r="I593" i="16"/>
  <c r="I592" i="16" s="1"/>
  <c r="J583" i="16"/>
  <c r="J582" i="16"/>
  <c r="J577" i="16"/>
  <c r="I577" i="16"/>
  <c r="K577" i="16" s="1"/>
  <c r="J576" i="16"/>
  <c r="I576" i="16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J559" i="16"/>
  <c r="J543" i="16" s="1"/>
  <c r="P557" i="16"/>
  <c r="L557" i="16"/>
  <c r="P556" i="16"/>
  <c r="O556" i="16"/>
  <c r="N555" i="16"/>
  <c r="N545" i="16" s="1"/>
  <c r="M555" i="16"/>
  <c r="N549" i="16"/>
  <c r="L549" i="16"/>
  <c r="O549" i="16" s="1"/>
  <c r="P548" i="16"/>
  <c r="O548" i="16"/>
  <c r="N547" i="16"/>
  <c r="N546" i="16"/>
  <c r="L545" i="16"/>
  <c r="N544" i="16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I522" i="16" s="1"/>
  <c r="K522" i="16" s="1"/>
  <c r="P535" i="16"/>
  <c r="L535" i="16"/>
  <c r="L533" i="16" s="1"/>
  <c r="O533" i="16" s="1"/>
  <c r="P534" i="16"/>
  <c r="O534" i="16"/>
  <c r="N533" i="16"/>
  <c r="M533" i="16"/>
  <c r="P533" i="16" s="1"/>
  <c r="P528" i="16"/>
  <c r="N528" i="16"/>
  <c r="L528" i="16"/>
  <c r="P527" i="16"/>
  <c r="O527" i="16"/>
  <c r="P526" i="16"/>
  <c r="N526" i="16"/>
  <c r="M526" i="16"/>
  <c r="P525" i="16"/>
  <c r="N525" i="16"/>
  <c r="N523" i="16" s="1"/>
  <c r="M525" i="16"/>
  <c r="P524" i="16"/>
  <c r="O524" i="16"/>
  <c r="N524" i="16"/>
  <c r="M524" i="16"/>
  <c r="L524" i="16"/>
  <c r="M523" i="16"/>
  <c r="P523" i="16" s="1"/>
  <c r="K517" i="16"/>
  <c r="J517" i="16"/>
  <c r="K516" i="16"/>
  <c r="P514" i="16"/>
  <c r="O514" i="16"/>
  <c r="P513" i="16"/>
  <c r="O513" i="16"/>
  <c r="P512" i="16"/>
  <c r="O512" i="16"/>
  <c r="N512" i="16"/>
  <c r="M512" i="16"/>
  <c r="L512" i="16"/>
  <c r="P507" i="16"/>
  <c r="O507" i="16"/>
  <c r="N507" i="16"/>
  <c r="N505" i="16" s="1"/>
  <c r="P506" i="16"/>
  <c r="O506" i="16"/>
  <c r="O505" i="16"/>
  <c r="M505" i="16"/>
  <c r="P505" i="16" s="1"/>
  <c r="L505" i="16"/>
  <c r="M504" i="16"/>
  <c r="P504" i="16" s="1"/>
  <c r="L504" i="16"/>
  <c r="O504" i="16" s="1"/>
  <c r="N503" i="16"/>
  <c r="M503" i="16"/>
  <c r="P503" i="16" s="1"/>
  <c r="L503" i="16"/>
  <c r="O503" i="16" s="1"/>
  <c r="L502" i="16"/>
  <c r="O502" i="16" s="1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L477" i="16" s="1"/>
  <c r="O477" i="16" s="1"/>
  <c r="P478" i="16"/>
  <c r="O478" i="16"/>
  <c r="P477" i="16"/>
  <c r="N477" i="16"/>
  <c r="M477" i="16"/>
  <c r="N472" i="16"/>
  <c r="L472" i="16"/>
  <c r="L470" i="16" s="1"/>
  <c r="O470" i="16" s="1"/>
  <c r="P471" i="16"/>
  <c r="O471" i="16"/>
  <c r="N470" i="16"/>
  <c r="N469" i="16"/>
  <c r="O468" i="16"/>
  <c r="N468" i="16"/>
  <c r="M468" i="16"/>
  <c r="P468" i="16" s="1"/>
  <c r="L468" i="16"/>
  <c r="N467" i="16"/>
  <c r="J466" i="16"/>
  <c r="I466" i="16"/>
  <c r="K466" i="16" s="1"/>
  <c r="J465" i="16"/>
  <c r="I465" i="16"/>
  <c r="K465" i="16" s="1"/>
  <c r="I464" i="16"/>
  <c r="I463" i="16"/>
  <c r="I462" i="16"/>
  <c r="K462" i="16" s="1"/>
  <c r="I460" i="16"/>
  <c r="I442" i="16" s="1"/>
  <c r="K442" i="16" s="1"/>
  <c r="K458" i="16"/>
  <c r="P456" i="16"/>
  <c r="L456" i="16"/>
  <c r="L454" i="16" s="1"/>
  <c r="O454" i="16" s="1"/>
  <c r="P455" i="16"/>
  <c r="O455" i="16"/>
  <c r="N454" i="16"/>
  <c r="M454" i="16"/>
  <c r="P454" i="16" s="1"/>
  <c r="P449" i="16"/>
  <c r="N449" i="16"/>
  <c r="L449" i="16"/>
  <c r="O449" i="16" s="1"/>
  <c r="P448" i="16"/>
  <c r="O448" i="16"/>
  <c r="P447" i="16"/>
  <c r="N447" i="16"/>
  <c r="M447" i="16"/>
  <c r="L447" i="16"/>
  <c r="O447" i="16" s="1"/>
  <c r="P446" i="16"/>
  <c r="N446" i="16"/>
  <c r="N444" i="16" s="1"/>
  <c r="M446" i="16"/>
  <c r="P445" i="16"/>
  <c r="O445" i="16"/>
  <c r="N445" i="16"/>
  <c r="M445" i="16"/>
  <c r="L445" i="16"/>
  <c r="M444" i="16"/>
  <c r="P444" i="16" s="1"/>
  <c r="J443" i="16"/>
  <c r="J442" i="16"/>
  <c r="I441" i="16"/>
  <c r="K441" i="16" s="1"/>
  <c r="I440" i="16"/>
  <c r="K440" i="16" s="1"/>
  <c r="I439" i="16"/>
  <c r="K439" i="16" s="1"/>
  <c r="I438" i="16"/>
  <c r="K438" i="16" s="1"/>
  <c r="I437" i="16"/>
  <c r="K437" i="16" s="1"/>
  <c r="I435" i="16"/>
  <c r="J434" i="16"/>
  <c r="P431" i="16"/>
  <c r="L431" i="16"/>
  <c r="O431" i="16" s="1"/>
  <c r="P430" i="16"/>
  <c r="O430" i="16"/>
  <c r="P429" i="16"/>
  <c r="N429" i="16"/>
  <c r="M429" i="16"/>
  <c r="N424" i="16"/>
  <c r="N422" i="16" s="1"/>
  <c r="L424" i="16"/>
  <c r="P423" i="16"/>
  <c r="O423" i="16"/>
  <c r="O420" i="16"/>
  <c r="N420" i="16"/>
  <c r="M420" i="16"/>
  <c r="L420" i="16"/>
  <c r="J418" i="16"/>
  <c r="K413" i="16"/>
  <c r="K412" i="16"/>
  <c r="N410" i="16"/>
  <c r="N408" i="16" s="1"/>
  <c r="M410" i="16"/>
  <c r="L410" i="16"/>
  <c r="P409" i="16"/>
  <c r="O409" i="16"/>
  <c r="N407" i="16"/>
  <c r="N405" i="16" s="1"/>
  <c r="M407" i="16"/>
  <c r="M405" i="16" s="1"/>
  <c r="P405" i="16" s="1"/>
  <c r="L407" i="16"/>
  <c r="L405" i="16" s="1"/>
  <c r="O405" i="16" s="1"/>
  <c r="P406" i="16"/>
  <c r="O406" i="16"/>
  <c r="N403" i="16"/>
  <c r="M403" i="16"/>
  <c r="P403" i="16" s="1"/>
  <c r="L403" i="16"/>
  <c r="K401" i="16"/>
  <c r="J401" i="16"/>
  <c r="I401" i="16"/>
  <c r="K400" i="16"/>
  <c r="K399" i="16"/>
  <c r="N397" i="16"/>
  <c r="N395" i="16" s="1"/>
  <c r="M397" i="16"/>
  <c r="P397" i="16" s="1"/>
  <c r="L397" i="16"/>
  <c r="O397" i="16" s="1"/>
  <c r="P396" i="16"/>
  <c r="O396" i="16"/>
  <c r="N394" i="16"/>
  <c r="N392" i="16" s="1"/>
  <c r="M394" i="16"/>
  <c r="L394" i="16"/>
  <c r="P393" i="16"/>
  <c r="O393" i="16"/>
  <c r="P390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L353" i="16"/>
  <c r="P352" i="16"/>
  <c r="O352" i="16"/>
  <c r="N350" i="16"/>
  <c r="M350" i="16"/>
  <c r="M348" i="16" s="1"/>
  <c r="L350" i="16"/>
  <c r="P349" i="16"/>
  <c r="O349" i="16"/>
  <c r="P346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N331" i="16" s="1"/>
  <c r="M333" i="16"/>
  <c r="M331" i="16" s="1"/>
  <c r="L333" i="16"/>
  <c r="P332" i="16"/>
  <c r="O332" i="16"/>
  <c r="O329" i="16"/>
  <c r="N329" i="16"/>
  <c r="M329" i="16"/>
  <c r="L329" i="16"/>
  <c r="I327" i="16"/>
  <c r="I325" i="16"/>
  <c r="K325" i="16" s="1"/>
  <c r="N323" i="16"/>
  <c r="N321" i="16" s="1"/>
  <c r="M323" i="16"/>
  <c r="M321" i="16" s="1"/>
  <c r="P321" i="16" s="1"/>
  <c r="L323" i="16"/>
  <c r="O323" i="16" s="1"/>
  <c r="P322" i="16"/>
  <c r="O322" i="16"/>
  <c r="N320" i="16"/>
  <c r="M320" i="16"/>
  <c r="P320" i="16" s="1"/>
  <c r="L320" i="16"/>
  <c r="O320" i="16" s="1"/>
  <c r="P319" i="16"/>
  <c r="O319" i="16"/>
  <c r="P316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N306" i="16"/>
  <c r="N304" i="16" s="1"/>
  <c r="M306" i="16"/>
  <c r="M304" i="16" s="1"/>
  <c r="P304" i="16" s="1"/>
  <c r="L306" i="16"/>
  <c r="O306" i="16" s="1"/>
  <c r="P305" i="16"/>
  <c r="O305" i="16"/>
  <c r="N303" i="16"/>
  <c r="M303" i="16"/>
  <c r="L303" i="16"/>
  <c r="P302" i="16"/>
  <c r="O302" i="16"/>
  <c r="P299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M285" i="16"/>
  <c r="L285" i="16"/>
  <c r="O285" i="16" s="1"/>
  <c r="P284" i="16"/>
  <c r="O284" i="16"/>
  <c r="N282" i="16"/>
  <c r="N280" i="16" s="1"/>
  <c r="M282" i="16"/>
  <c r="M280" i="16" s="1"/>
  <c r="L282" i="16"/>
  <c r="P281" i="16"/>
  <c r="O281" i="16"/>
  <c r="P278" i="16"/>
  <c r="N278" i="16"/>
  <c r="M278" i="16"/>
  <c r="L278" i="16"/>
  <c r="O278" i="16" s="1"/>
  <c r="J276" i="16"/>
  <c r="I271" i="16"/>
  <c r="N269" i="16"/>
  <c r="N267" i="16" s="1"/>
  <c r="M269" i="16"/>
  <c r="M267" i="16" s="1"/>
  <c r="P267" i="16" s="1"/>
  <c r="L269" i="16"/>
  <c r="O269" i="16" s="1"/>
  <c r="P268" i="16"/>
  <c r="O268" i="16"/>
  <c r="N266" i="16"/>
  <c r="M266" i="16"/>
  <c r="M264" i="16" s="1"/>
  <c r="L266" i="16"/>
  <c r="L264" i="16" s="1"/>
  <c r="P265" i="16"/>
  <c r="O265" i="16"/>
  <c r="P262" i="16"/>
  <c r="O262" i="16"/>
  <c r="N262" i="16"/>
  <c r="M262" i="16"/>
  <c r="L262" i="16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L242" i="16"/>
  <c r="L241" i="16"/>
  <c r="L240" i="16"/>
  <c r="L239" i="16"/>
  <c r="P238" i="16"/>
  <c r="N238" i="16"/>
  <c r="J237" i="16"/>
  <c r="K236" i="16"/>
  <c r="J236" i="16"/>
  <c r="I236" i="16"/>
  <c r="J235" i="16"/>
  <c r="I235" i="16"/>
  <c r="K235" i="16" s="1"/>
  <c r="J233" i="16"/>
  <c r="N231" i="16"/>
  <c r="N230" i="16"/>
  <c r="N229" i="16"/>
  <c r="N228" i="16"/>
  <c r="N227" i="16"/>
  <c r="J226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L189" i="16"/>
  <c r="P188" i="16"/>
  <c r="O188" i="16"/>
  <c r="N186" i="16"/>
  <c r="M186" i="16"/>
  <c r="M184" i="16" s="1"/>
  <c r="L186" i="16"/>
  <c r="P185" i="16"/>
  <c r="O185" i="16"/>
  <c r="P182" i="16"/>
  <c r="O182" i="16"/>
  <c r="N182" i="16"/>
  <c r="M182" i="16"/>
  <c r="L182" i="16"/>
  <c r="J180" i="16"/>
  <c r="J177" i="16"/>
  <c r="I176" i="16"/>
  <c r="K176" i="16" s="1"/>
  <c r="J174" i="16"/>
  <c r="N173" i="16"/>
  <c r="N171" i="16" s="1"/>
  <c r="M173" i="16"/>
  <c r="P173" i="16" s="1"/>
  <c r="L173" i="16"/>
  <c r="O173" i="16" s="1"/>
  <c r="P172" i="16"/>
  <c r="O172" i="16"/>
  <c r="N170" i="16"/>
  <c r="M170" i="16"/>
  <c r="L170" i="16"/>
  <c r="L168" i="16" s="1"/>
  <c r="P169" i="16"/>
  <c r="O169" i="16"/>
  <c r="P166" i="16"/>
  <c r="O166" i="16"/>
  <c r="N166" i="16"/>
  <c r="M166" i="16"/>
  <c r="L166" i="16"/>
  <c r="J164" i="16"/>
  <c r="I159" i="16"/>
  <c r="K159" i="16" s="1"/>
  <c r="N157" i="16"/>
  <c r="N155" i="16" s="1"/>
  <c r="M157" i="16"/>
  <c r="M155" i="16" s="1"/>
  <c r="P155" i="16" s="1"/>
  <c r="L157" i="16"/>
  <c r="P156" i="16"/>
  <c r="O156" i="16"/>
  <c r="N154" i="16"/>
  <c r="M154" i="16"/>
  <c r="M152" i="16" s="1"/>
  <c r="L154" i="16"/>
  <c r="L152" i="16" s="1"/>
  <c r="P153" i="16"/>
  <c r="O153" i="16"/>
  <c r="P150" i="16"/>
  <c r="O150" i="16"/>
  <c r="N150" i="16"/>
  <c r="M150" i="16"/>
  <c r="L150" i="16"/>
  <c r="J148" i="16"/>
  <c r="I146" i="16"/>
  <c r="I145" i="16"/>
  <c r="I144" i="16"/>
  <c r="N140" i="16"/>
  <c r="N138" i="16" s="1"/>
  <c r="M140" i="16"/>
  <c r="M138" i="16" s="1"/>
  <c r="P138" i="16" s="1"/>
  <c r="L140" i="16"/>
  <c r="P139" i="16"/>
  <c r="O139" i="16"/>
  <c r="N137" i="16"/>
  <c r="M137" i="16"/>
  <c r="M135" i="16" s="1"/>
  <c r="P135" i="16" s="1"/>
  <c r="L137" i="16"/>
  <c r="O137" i="16" s="1"/>
  <c r="P136" i="16"/>
  <c r="O136" i="16"/>
  <c r="N133" i="16"/>
  <c r="M133" i="16"/>
  <c r="L133" i="16"/>
  <c r="O133" i="16" s="1"/>
  <c r="J130" i="16"/>
  <c r="N127" i="16"/>
  <c r="N125" i="16" s="1"/>
  <c r="M127" i="16"/>
  <c r="M125" i="16" s="1"/>
  <c r="P125" i="16" s="1"/>
  <c r="L127" i="16"/>
  <c r="O127" i="16" s="1"/>
  <c r="P126" i="16"/>
  <c r="O126" i="16"/>
  <c r="N124" i="16"/>
  <c r="N122" i="16" s="1"/>
  <c r="M124" i="16"/>
  <c r="M122" i="16" s="1"/>
  <c r="P122" i="16" s="1"/>
  <c r="L124" i="16"/>
  <c r="O124" i="16" s="1"/>
  <c r="P123" i="16"/>
  <c r="O123" i="16"/>
  <c r="P120" i="16"/>
  <c r="O120" i="16"/>
  <c r="N120" i="16"/>
  <c r="M120" i="16"/>
  <c r="L120" i="16"/>
  <c r="I116" i="16"/>
  <c r="K116" i="16" s="1"/>
  <c r="I115" i="16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I87" i="16" s="1"/>
  <c r="J98" i="16"/>
  <c r="I98" i="16"/>
  <c r="N96" i="16"/>
  <c r="N94" i="16" s="1"/>
  <c r="M96" i="16"/>
  <c r="P96" i="16" s="1"/>
  <c r="L96" i="16"/>
  <c r="P95" i="16"/>
  <c r="O95" i="16"/>
  <c r="N93" i="16"/>
  <c r="M93" i="16"/>
  <c r="M91" i="16" s="1"/>
  <c r="L93" i="16"/>
  <c r="L91" i="16" s="1"/>
  <c r="P92" i="16"/>
  <c r="O92" i="16"/>
  <c r="P89" i="16"/>
  <c r="O89" i="16"/>
  <c r="N89" i="16"/>
  <c r="M89" i="16"/>
  <c r="L89" i="16"/>
  <c r="J86" i="16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I78" i="16"/>
  <c r="K78" i="16" s="1"/>
  <c r="J77" i="16"/>
  <c r="J65" i="16" s="1"/>
  <c r="J76" i="16"/>
  <c r="N74" i="16"/>
  <c r="N72" i="16" s="1"/>
  <c r="M74" i="16"/>
  <c r="M72" i="16" s="1"/>
  <c r="P72" i="16" s="1"/>
  <c r="L74" i="16"/>
  <c r="O74" i="16" s="1"/>
  <c r="P73" i="16"/>
  <c r="O73" i="16"/>
  <c r="N71" i="16"/>
  <c r="M71" i="16"/>
  <c r="M69" i="16" s="1"/>
  <c r="P69" i="16" s="1"/>
  <c r="L71" i="16"/>
  <c r="O71" i="16" s="1"/>
  <c r="P70" i="16"/>
  <c r="O70" i="16"/>
  <c r="P67" i="16"/>
  <c r="N67" i="16"/>
  <c r="M67" i="16"/>
  <c r="L67" i="16"/>
  <c r="O67" i="16" s="1"/>
  <c r="J64" i="16"/>
  <c r="N61" i="16"/>
  <c r="N59" i="16" s="1"/>
  <c r="M61" i="16"/>
  <c r="M59" i="16" s="1"/>
  <c r="L61" i="16"/>
  <c r="P60" i="16"/>
  <c r="O60" i="16"/>
  <c r="N58" i="16"/>
  <c r="M58" i="16"/>
  <c r="M56" i="16" s="1"/>
  <c r="L58" i="16"/>
  <c r="L56" i="16" s="1"/>
  <c r="P57" i="16"/>
  <c r="O57" i="16"/>
  <c r="P54" i="16"/>
  <c r="N54" i="16"/>
  <c r="M54" i="16"/>
  <c r="L54" i="16"/>
  <c r="O54" i="16" s="1"/>
  <c r="N49" i="16"/>
  <c r="M49" i="16"/>
  <c r="L49" i="16"/>
  <c r="O49" i="16" s="1"/>
  <c r="P48" i="16"/>
  <c r="O48" i="16"/>
  <c r="N46" i="16"/>
  <c r="N44" i="16" s="1"/>
  <c r="M46" i="16"/>
  <c r="M44" i="16" s="1"/>
  <c r="L46" i="16"/>
  <c r="P45" i="16"/>
  <c r="O45" i="16"/>
  <c r="P42" i="16"/>
  <c r="N42" i="16"/>
  <c r="M42" i="16"/>
  <c r="L42" i="16"/>
  <c r="O42" i="16" s="1"/>
  <c r="N36" i="16"/>
  <c r="M36" i="16"/>
  <c r="P36" i="16" s="1"/>
  <c r="P35" i="16"/>
  <c r="N35" i="16"/>
  <c r="N34" i="16" s="1"/>
  <c r="M35" i="16"/>
  <c r="L35" i="16"/>
  <c r="L29" i="16" s="1"/>
  <c r="M34" i="16"/>
  <c r="P34" i="16" s="1"/>
  <c r="N33" i="16"/>
  <c r="N30" i="16" s="1"/>
  <c r="O32" i="16"/>
  <c r="N32" i="16"/>
  <c r="N31" i="16" s="1"/>
  <c r="M32" i="16"/>
  <c r="L32" i="16"/>
  <c r="N29" i="16"/>
  <c r="N28" i="16" s="1"/>
  <c r="N25" i="16"/>
  <c r="N15" i="16" s="1"/>
  <c r="M25" i="16"/>
  <c r="L25" i="16"/>
  <c r="P22" i="16"/>
  <c r="O22" i="16"/>
  <c r="N22" i="16"/>
  <c r="M22" i="16"/>
  <c r="L22" i="16"/>
  <c r="N19" i="16"/>
  <c r="M19" i="16"/>
  <c r="P19" i="16" s="1"/>
  <c r="O12" i="16"/>
  <c r="M12" i="16"/>
  <c r="L12" i="16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N806" i="15"/>
  <c r="M806" i="15"/>
  <c r="P806" i="15" s="1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L789" i="15" s="1"/>
  <c r="O789" i="15" s="1"/>
  <c r="P790" i="15"/>
  <c r="O790" i="15"/>
  <c r="P789" i="15"/>
  <c r="N789" i="15"/>
  <c r="M789" i="15"/>
  <c r="M788" i="15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P774" i="15"/>
  <c r="O774" i="15"/>
  <c r="O773" i="15"/>
  <c r="N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P758" i="15"/>
  <c r="O758" i="15"/>
  <c r="O757" i="15"/>
  <c r="N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P741" i="15"/>
  <c r="O741" i="15"/>
  <c r="O740" i="15"/>
  <c r="N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P690" i="15"/>
  <c r="N690" i="15"/>
  <c r="N687" i="15" s="1"/>
  <c r="L690" i="15"/>
  <c r="O690" i="15" s="1"/>
  <c r="P688" i="15"/>
  <c r="N688" i="15"/>
  <c r="M688" i="15"/>
  <c r="M687" i="15"/>
  <c r="P686" i="15"/>
  <c r="N686" i="15"/>
  <c r="N685" i="15" s="1"/>
  <c r="M686" i="15"/>
  <c r="L686" i="15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K673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N657" i="15" s="1"/>
  <c r="L660" i="15"/>
  <c r="O660" i="15" s="1"/>
  <c r="P659" i="15"/>
  <c r="O659" i="15"/>
  <c r="N658" i="15"/>
  <c r="M658" i="15"/>
  <c r="P658" i="15" s="1"/>
  <c r="P657" i="15"/>
  <c r="M657" i="15"/>
  <c r="M655" i="15" s="1"/>
  <c r="P655" i="15" s="1"/>
  <c r="P656" i="15"/>
  <c r="O656" i="15"/>
  <c r="N656" i="15"/>
  <c r="M656" i="15"/>
  <c r="L656" i="15"/>
  <c r="N655" i="15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P639" i="15"/>
  <c r="N639" i="15"/>
  <c r="M639" i="15"/>
  <c r="N634" i="15"/>
  <c r="L634" i="15"/>
  <c r="L632" i="15" s="1"/>
  <c r="P633" i="15"/>
  <c r="O633" i="15"/>
  <c r="N632" i="15"/>
  <c r="N631" i="15"/>
  <c r="N630" i="15"/>
  <c r="N629" i="15" s="1"/>
  <c r="M630" i="15"/>
  <c r="P630" i="15" s="1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J593" i="15" s="1"/>
  <c r="J592" i="15" s="1"/>
  <c r="I594" i="15"/>
  <c r="K594" i="15" s="1"/>
  <c r="I593" i="15"/>
  <c r="J583" i="15"/>
  <c r="J577" i="15" s="1"/>
  <c r="J582" i="15"/>
  <c r="I577" i="15"/>
  <c r="K577" i="15" s="1"/>
  <c r="J576" i="15"/>
  <c r="J559" i="15" s="1"/>
  <c r="J543" i="15" s="1"/>
  <c r="I576" i="15"/>
  <c r="I559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O557" i="15" s="1"/>
  <c r="P556" i="15"/>
  <c r="O556" i="15"/>
  <c r="N555" i="15"/>
  <c r="N545" i="15" s="1"/>
  <c r="N544" i="15" s="1"/>
  <c r="M555" i="15"/>
  <c r="P555" i="15" s="1"/>
  <c r="N549" i="15"/>
  <c r="L549" i="15"/>
  <c r="O549" i="15" s="1"/>
  <c r="P548" i="15"/>
  <c r="O548" i="15"/>
  <c r="N547" i="15"/>
  <c r="N546" i="15"/>
  <c r="P545" i="15"/>
  <c r="M545" i="15"/>
  <c r="L545" i="15"/>
  <c r="O545" i="15" s="1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K537" i="15" s="1"/>
  <c r="P535" i="15"/>
  <c r="L535" i="15"/>
  <c r="O535" i="15" s="1"/>
  <c r="P534" i="15"/>
  <c r="O534" i="15"/>
  <c r="N533" i="15"/>
  <c r="M533" i="15"/>
  <c r="P533" i="15" s="1"/>
  <c r="P528" i="15"/>
  <c r="N528" i="15"/>
  <c r="L528" i="15"/>
  <c r="O528" i="15" s="1"/>
  <c r="P527" i="15"/>
  <c r="O527" i="15"/>
  <c r="P526" i="15"/>
  <c r="N526" i="15"/>
  <c r="M526" i="15"/>
  <c r="N525" i="15"/>
  <c r="M525" i="15"/>
  <c r="P525" i="15" s="1"/>
  <c r="P524" i="15"/>
  <c r="N524" i="15"/>
  <c r="N523" i="15" s="1"/>
  <c r="M524" i="15"/>
  <c r="L524" i="15"/>
  <c r="O524" i="15" s="1"/>
  <c r="M523" i="15"/>
  <c r="P523" i="15" s="1"/>
  <c r="K517" i="15"/>
  <c r="J517" i="15"/>
  <c r="J501" i="15" s="1"/>
  <c r="K516" i="15"/>
  <c r="P514" i="15"/>
  <c r="O514" i="15"/>
  <c r="P513" i="15"/>
  <c r="O513" i="15"/>
  <c r="P512" i="15"/>
  <c r="N512" i="15"/>
  <c r="M512" i="15"/>
  <c r="L512" i="15"/>
  <c r="O512" i="15" s="1"/>
  <c r="P507" i="15"/>
  <c r="O507" i="15"/>
  <c r="N507" i="15"/>
  <c r="N504" i="15" s="1"/>
  <c r="P506" i="15"/>
  <c r="O506" i="15"/>
  <c r="P505" i="15"/>
  <c r="O505" i="15"/>
  <c r="N505" i="15"/>
  <c r="M505" i="15"/>
  <c r="L505" i="15"/>
  <c r="O504" i="15"/>
  <c r="M504" i="15"/>
  <c r="L504" i="15"/>
  <c r="N503" i="15"/>
  <c r="N502" i="15" s="1"/>
  <c r="M503" i="15"/>
  <c r="P503" i="15" s="1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N477" i="15"/>
  <c r="M477" i="15"/>
  <c r="P477" i="15" s="1"/>
  <c r="N472" i="15"/>
  <c r="N469" i="15" s="1"/>
  <c r="L472" i="15"/>
  <c r="O472" i="15" s="1"/>
  <c r="P471" i="15"/>
  <c r="O471" i="15"/>
  <c r="O468" i="15"/>
  <c r="N468" i="15"/>
  <c r="M468" i="15"/>
  <c r="L468" i="15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K458" i="15"/>
  <c r="P456" i="15"/>
  <c r="L456" i="15"/>
  <c r="O456" i="15" s="1"/>
  <c r="P455" i="15"/>
  <c r="O455" i="15"/>
  <c r="N454" i="15"/>
  <c r="M454" i="15"/>
  <c r="P454" i="15" s="1"/>
  <c r="N449" i="15"/>
  <c r="L449" i="15"/>
  <c r="O449" i="15" s="1"/>
  <c r="P448" i="15"/>
  <c r="O448" i="15"/>
  <c r="N447" i="15"/>
  <c r="N446" i="15"/>
  <c r="O445" i="15"/>
  <c r="N445" i="15"/>
  <c r="M445" i="15"/>
  <c r="P445" i="15" s="1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I435" i="15"/>
  <c r="I433" i="15" s="1"/>
  <c r="I417" i="15" s="1"/>
  <c r="J434" i="15"/>
  <c r="J418" i="15" s="1"/>
  <c r="P431" i="15"/>
  <c r="L431" i="15"/>
  <c r="P430" i="15"/>
  <c r="O430" i="15"/>
  <c r="P429" i="15"/>
  <c r="N429" i="15"/>
  <c r="M429" i="15"/>
  <c r="L429" i="15"/>
  <c r="O429" i="15" s="1"/>
  <c r="N424" i="15"/>
  <c r="L424" i="15"/>
  <c r="L422" i="15" s="1"/>
  <c r="O422" i="15" s="1"/>
  <c r="P423" i="15"/>
  <c r="O423" i="15"/>
  <c r="N422" i="15"/>
  <c r="N421" i="15"/>
  <c r="N419" i="15" s="1"/>
  <c r="P420" i="15"/>
  <c r="N420" i="15"/>
  <c r="M420" i="15"/>
  <c r="L420" i="15"/>
  <c r="O420" i="15" s="1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M407" i="15"/>
  <c r="P407" i="15" s="1"/>
  <c r="L407" i="15"/>
  <c r="O407" i="15" s="1"/>
  <c r="P406" i="15"/>
  <c r="O406" i="15"/>
  <c r="P403" i="15"/>
  <c r="N403" i="15"/>
  <c r="M403" i="15"/>
  <c r="L403" i="15"/>
  <c r="O403" i="15" s="1"/>
  <c r="J401" i="15"/>
  <c r="I401" i="15"/>
  <c r="K401" i="15" s="1"/>
  <c r="K400" i="15"/>
  <c r="K399" i="15"/>
  <c r="N397" i="15"/>
  <c r="M397" i="15"/>
  <c r="P397" i="15" s="1"/>
  <c r="L397" i="15"/>
  <c r="O397" i="15" s="1"/>
  <c r="P396" i="15"/>
  <c r="O396" i="15"/>
  <c r="N394" i="15"/>
  <c r="N392" i="15" s="1"/>
  <c r="M394" i="15"/>
  <c r="P394" i="15" s="1"/>
  <c r="L394" i="15"/>
  <c r="O394" i="15" s="1"/>
  <c r="P393" i="15"/>
  <c r="O393" i="15"/>
  <c r="P390" i="15"/>
  <c r="N390" i="15"/>
  <c r="M390" i="15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P352" i="15"/>
  <c r="O352" i="15"/>
  <c r="N350" i="15"/>
  <c r="M350" i="15"/>
  <c r="L350" i="15"/>
  <c r="P349" i="15"/>
  <c r="O349" i="15"/>
  <c r="P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L336" i="15"/>
  <c r="O336" i="15" s="1"/>
  <c r="P335" i="15"/>
  <c r="O335" i="15"/>
  <c r="N333" i="15"/>
  <c r="N331" i="15" s="1"/>
  <c r="M333" i="15"/>
  <c r="L333" i="15"/>
  <c r="P332" i="15"/>
  <c r="O332" i="15"/>
  <c r="P329" i="15"/>
  <c r="N329" i="15"/>
  <c r="M329" i="15"/>
  <c r="L329" i="15"/>
  <c r="I327" i="15"/>
  <c r="I325" i="15"/>
  <c r="K325" i="15" s="1"/>
  <c r="N323" i="15"/>
  <c r="N321" i="15" s="1"/>
  <c r="M323" i="15"/>
  <c r="M321" i="15" s="1"/>
  <c r="P321" i="15" s="1"/>
  <c r="L323" i="15"/>
  <c r="L321" i="15" s="1"/>
  <c r="O321" i="15" s="1"/>
  <c r="P322" i="15"/>
  <c r="O322" i="15"/>
  <c r="N320" i="15"/>
  <c r="N318" i="15" s="1"/>
  <c r="M320" i="15"/>
  <c r="L320" i="15"/>
  <c r="L318" i="15" s="1"/>
  <c r="O318" i="15" s="1"/>
  <c r="P319" i="15"/>
  <c r="O319" i="15"/>
  <c r="N316" i="15"/>
  <c r="M316" i="15"/>
  <c r="P316" i="15" s="1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P306" i="15" s="1"/>
  <c r="L306" i="15"/>
  <c r="O306" i="15" s="1"/>
  <c r="P305" i="15"/>
  <c r="O305" i="15"/>
  <c r="N303" i="15"/>
  <c r="N301" i="15" s="1"/>
  <c r="M303" i="15"/>
  <c r="L303" i="15"/>
  <c r="P302" i="15"/>
  <c r="O302" i="15"/>
  <c r="P299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I275" i="15" s="1"/>
  <c r="K275" i="15" s="1"/>
  <c r="I287" i="15"/>
  <c r="K287" i="15" s="1"/>
  <c r="N285" i="15"/>
  <c r="N283" i="15" s="1"/>
  <c r="M285" i="15"/>
  <c r="M283" i="15" s="1"/>
  <c r="P283" i="15" s="1"/>
  <c r="L285" i="15"/>
  <c r="O285" i="15" s="1"/>
  <c r="P284" i="15"/>
  <c r="O284" i="15"/>
  <c r="N282" i="15"/>
  <c r="N280" i="15" s="1"/>
  <c r="M282" i="15"/>
  <c r="M280" i="15" s="1"/>
  <c r="P280" i="15" s="1"/>
  <c r="L282" i="15"/>
  <c r="O282" i="15" s="1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L269" i="15"/>
  <c r="L267" i="15" s="1"/>
  <c r="O267" i="15" s="1"/>
  <c r="P268" i="15"/>
  <c r="O268" i="15"/>
  <c r="N266" i="15"/>
  <c r="N264" i="15" s="1"/>
  <c r="M266" i="15"/>
  <c r="L266" i="15"/>
  <c r="L264" i="15" s="1"/>
  <c r="P265" i="15"/>
  <c r="O265" i="15"/>
  <c r="N262" i="15"/>
  <c r="M262" i="15"/>
  <c r="P262" i="15" s="1"/>
  <c r="L262" i="15"/>
  <c r="J260" i="15"/>
  <c r="K258" i="15"/>
  <c r="K257" i="15"/>
  <c r="I255" i="15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N227" i="15" s="1"/>
  <c r="J237" i="15"/>
  <c r="J226" i="15" s="1"/>
  <c r="J180" i="15" s="1"/>
  <c r="K236" i="15"/>
  <c r="J236" i="15"/>
  <c r="I236" i="15"/>
  <c r="J235" i="15"/>
  <c r="K235" i="15" s="1"/>
  <c r="I235" i="15"/>
  <c r="J233" i="15"/>
  <c r="N231" i="15"/>
  <c r="N230" i="15"/>
  <c r="N229" i="15"/>
  <c r="N228" i="15"/>
  <c r="I225" i="15"/>
  <c r="K225" i="15" s="1"/>
  <c r="I224" i="15"/>
  <c r="I216" i="15" s="1"/>
  <c r="K216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M187" i="15" s="1"/>
  <c r="P187" i="15" s="1"/>
  <c r="L189" i="15"/>
  <c r="O189" i="15" s="1"/>
  <c r="P188" i="15"/>
  <c r="O188" i="15"/>
  <c r="N186" i="15"/>
  <c r="M186" i="15"/>
  <c r="M184" i="15" s="1"/>
  <c r="L186" i="15"/>
  <c r="L184" i="15" s="1"/>
  <c r="P185" i="15"/>
  <c r="O185" i="15"/>
  <c r="P182" i="15"/>
  <c r="N182" i="15"/>
  <c r="M182" i="15"/>
  <c r="L182" i="15"/>
  <c r="O182" i="15" s="1"/>
  <c r="J177" i="15"/>
  <c r="J164" i="15" s="1"/>
  <c r="I176" i="15"/>
  <c r="K176" i="15" s="1"/>
  <c r="J174" i="15"/>
  <c r="N173" i="15"/>
  <c r="N171" i="15" s="1"/>
  <c r="M173" i="15"/>
  <c r="M171" i="15" s="1"/>
  <c r="P171" i="15" s="1"/>
  <c r="L173" i="15"/>
  <c r="O173" i="15" s="1"/>
  <c r="P172" i="15"/>
  <c r="O172" i="15"/>
  <c r="N170" i="15"/>
  <c r="N168" i="15" s="1"/>
  <c r="M170" i="15"/>
  <c r="M168" i="15" s="1"/>
  <c r="L170" i="15"/>
  <c r="L168" i="15" s="1"/>
  <c r="P169" i="15"/>
  <c r="O169" i="15"/>
  <c r="O166" i="15"/>
  <c r="N166" i="15"/>
  <c r="M166" i="15"/>
  <c r="L166" i="15"/>
  <c r="I159" i="15"/>
  <c r="K159" i="15" s="1"/>
  <c r="N157" i="15"/>
  <c r="N155" i="15" s="1"/>
  <c r="M157" i="15"/>
  <c r="P157" i="15" s="1"/>
  <c r="L157" i="15"/>
  <c r="L155" i="15" s="1"/>
  <c r="O155" i="15" s="1"/>
  <c r="P156" i="15"/>
  <c r="O156" i="15"/>
  <c r="N154" i="15"/>
  <c r="M154" i="15"/>
  <c r="P154" i="15" s="1"/>
  <c r="L154" i="15"/>
  <c r="L152" i="15" s="1"/>
  <c r="O152" i="15" s="1"/>
  <c r="P153" i="15"/>
  <c r="O153" i="15"/>
  <c r="O150" i="15"/>
  <c r="N150" i="15"/>
  <c r="M150" i="15"/>
  <c r="P150" i="15" s="1"/>
  <c r="L150" i="15"/>
  <c r="J148" i="15"/>
  <c r="I146" i="15"/>
  <c r="I130" i="15" s="1"/>
  <c r="K130" i="15" s="1"/>
  <c r="I145" i="15"/>
  <c r="I144" i="15"/>
  <c r="N140" i="15"/>
  <c r="N138" i="15" s="1"/>
  <c r="M140" i="15"/>
  <c r="P140" i="15" s="1"/>
  <c r="L140" i="15"/>
  <c r="L138" i="15" s="1"/>
  <c r="O138" i="15" s="1"/>
  <c r="P139" i="15"/>
  <c r="O139" i="15"/>
  <c r="N137" i="15"/>
  <c r="M137" i="15"/>
  <c r="P137" i="15" s="1"/>
  <c r="L137" i="15"/>
  <c r="L135" i="15" s="1"/>
  <c r="O135" i="15" s="1"/>
  <c r="P136" i="15"/>
  <c r="O136" i="15"/>
  <c r="P133" i="15"/>
  <c r="N133" i="15"/>
  <c r="M133" i="15"/>
  <c r="L133" i="15"/>
  <c r="J130" i="15"/>
  <c r="N127" i="15"/>
  <c r="N125" i="15" s="1"/>
  <c r="M127" i="15"/>
  <c r="P127" i="15" s="1"/>
  <c r="L127" i="15"/>
  <c r="P126" i="15"/>
  <c r="O126" i="15"/>
  <c r="N124" i="15"/>
  <c r="N122" i="15" s="1"/>
  <c r="M124" i="15"/>
  <c r="P124" i="15" s="1"/>
  <c r="L124" i="15"/>
  <c r="L122" i="15" s="1"/>
  <c r="O122" i="15" s="1"/>
  <c r="P123" i="15"/>
  <c r="O123" i="15"/>
  <c r="N120" i="15"/>
  <c r="M120" i="15"/>
  <c r="P120" i="15" s="1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J86" i="15" s="1"/>
  <c r="I98" i="15"/>
  <c r="K98" i="15" s="1"/>
  <c r="N96" i="15"/>
  <c r="N94" i="15" s="1"/>
  <c r="M96" i="15"/>
  <c r="M94" i="15" s="1"/>
  <c r="P94" i="15" s="1"/>
  <c r="L96" i="15"/>
  <c r="O96" i="15" s="1"/>
  <c r="P95" i="15"/>
  <c r="O95" i="15"/>
  <c r="N93" i="15"/>
  <c r="N91" i="15" s="1"/>
  <c r="M93" i="15"/>
  <c r="M91" i="15" s="1"/>
  <c r="L93" i="15"/>
  <c r="L91" i="15" s="1"/>
  <c r="P92" i="15"/>
  <c r="O92" i="15"/>
  <c r="O89" i="15"/>
  <c r="N89" i="15"/>
  <c r="M89" i="15"/>
  <c r="L89" i="15"/>
  <c r="J87" i="15"/>
  <c r="I84" i="15"/>
  <c r="K84" i="15" s="1"/>
  <c r="I83" i="15"/>
  <c r="K83" i="15" s="1"/>
  <c r="I82" i="15"/>
  <c r="K82" i="15" s="1"/>
  <c r="I81" i="15"/>
  <c r="K81" i="15" s="1"/>
  <c r="I80" i="15"/>
  <c r="I79" i="15"/>
  <c r="I78" i="15"/>
  <c r="K78" i="15" s="1"/>
  <c r="J77" i="15"/>
  <c r="J76" i="15"/>
  <c r="N74" i="15"/>
  <c r="N72" i="15" s="1"/>
  <c r="M74" i="15"/>
  <c r="P74" i="15" s="1"/>
  <c r="L74" i="15"/>
  <c r="P73" i="15"/>
  <c r="O73" i="15"/>
  <c r="N71" i="15"/>
  <c r="M71" i="15"/>
  <c r="L71" i="15"/>
  <c r="L69" i="15" s="1"/>
  <c r="O69" i="15" s="1"/>
  <c r="P70" i="15"/>
  <c r="O70" i="15"/>
  <c r="P67" i="15"/>
  <c r="O67" i="15"/>
  <c r="N67" i="15"/>
  <c r="M67" i="15"/>
  <c r="L67" i="15"/>
  <c r="J65" i="15"/>
  <c r="J64" i="15"/>
  <c r="N61" i="15"/>
  <c r="M61" i="15"/>
  <c r="P61" i="15" s="1"/>
  <c r="L61" i="15"/>
  <c r="L59" i="15" s="1"/>
  <c r="O59" i="15" s="1"/>
  <c r="P60" i="15"/>
  <c r="O60" i="15"/>
  <c r="N58" i="15"/>
  <c r="N56" i="15" s="1"/>
  <c r="M58" i="15"/>
  <c r="L58" i="15"/>
  <c r="L56" i="15" s="1"/>
  <c r="P57" i="15"/>
  <c r="O57" i="15"/>
  <c r="O54" i="15"/>
  <c r="N54" i="15"/>
  <c r="M54" i="15"/>
  <c r="P54" i="15" s="1"/>
  <c r="L54" i="15"/>
  <c r="N49" i="15"/>
  <c r="N47" i="15" s="1"/>
  <c r="M49" i="15"/>
  <c r="M47" i="15" s="1"/>
  <c r="P47" i="15" s="1"/>
  <c r="L49" i="15"/>
  <c r="L47" i="15" s="1"/>
  <c r="O47" i="15" s="1"/>
  <c r="P48" i="15"/>
  <c r="O48" i="15"/>
  <c r="N46" i="15"/>
  <c r="M46" i="15"/>
  <c r="M44" i="15" s="1"/>
  <c r="L46" i="15"/>
  <c r="L44" i="15" s="1"/>
  <c r="P45" i="15"/>
  <c r="O45" i="15"/>
  <c r="P42" i="15"/>
  <c r="N42" i="15"/>
  <c r="M42" i="15"/>
  <c r="L42" i="15"/>
  <c r="N36" i="15"/>
  <c r="M36" i="15"/>
  <c r="P36" i="15" s="1"/>
  <c r="N35" i="15"/>
  <c r="M35" i="15"/>
  <c r="L35" i="15"/>
  <c r="O35" i="15" s="1"/>
  <c r="N33" i="15"/>
  <c r="P32" i="15"/>
  <c r="O32" i="15"/>
  <c r="N32" i="15"/>
  <c r="M32" i="15"/>
  <c r="L32" i="15"/>
  <c r="L29" i="15"/>
  <c r="O29" i="15" s="1"/>
  <c r="O25" i="15"/>
  <c r="N25" i="15"/>
  <c r="M25" i="15"/>
  <c r="M19" i="15" s="1"/>
  <c r="L25" i="15"/>
  <c r="P22" i="15"/>
  <c r="N22" i="15"/>
  <c r="M22" i="15"/>
  <c r="L22" i="15"/>
  <c r="O22" i="15" s="1"/>
  <c r="N15" i="15"/>
  <c r="L15" i="15"/>
  <c r="O15" i="15" s="1"/>
  <c r="M12" i="15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P809" i="14"/>
  <c r="O809" i="14"/>
  <c r="P808" i="14"/>
  <c r="N808" i="14"/>
  <c r="M808" i="14"/>
  <c r="L808" i="14"/>
  <c r="O808" i="14" s="1"/>
  <c r="O807" i="14"/>
  <c r="M807" i="14"/>
  <c r="L807" i="14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O791" i="14" s="1"/>
  <c r="P790" i="14"/>
  <c r="O790" i="14"/>
  <c r="P789" i="14"/>
  <c r="M789" i="14"/>
  <c r="M788" i="14"/>
  <c r="L788" i="14"/>
  <c r="O788" i="14" s="1"/>
  <c r="P787" i="14"/>
  <c r="N787" i="14"/>
  <c r="N786" i="14" s="1"/>
  <c r="M787" i="14"/>
  <c r="L787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N773" i="14" s="1"/>
  <c r="P774" i="14"/>
  <c r="O774" i="14"/>
  <c r="O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N757" i="14" s="1"/>
  <c r="P758" i="14"/>
  <c r="O758" i="14"/>
  <c r="O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N740" i="14" s="1"/>
  <c r="P741" i="14"/>
  <c r="O741" i="14"/>
  <c r="O740" i="14"/>
  <c r="M740" i="14"/>
  <c r="P740" i="14" s="1"/>
  <c r="L740" i="14"/>
  <c r="P739" i="14"/>
  <c r="N739" i="14"/>
  <c r="N737" i="14" s="1"/>
  <c r="M739" i="14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N690" i="14"/>
  <c r="N688" i="14" s="1"/>
  <c r="L690" i="14"/>
  <c r="O690" i="14" s="1"/>
  <c r="N687" i="14"/>
  <c r="N685" i="14" s="1"/>
  <c r="O686" i="14"/>
  <c r="N686" i="14"/>
  <c r="M686" i="14"/>
  <c r="L686" i="14"/>
  <c r="J679" i="14"/>
  <c r="J678" i="14" s="1"/>
  <c r="I678" i="14"/>
  <c r="K678" i="14" s="1"/>
  <c r="J675" i="14"/>
  <c r="J669" i="14" s="1"/>
  <c r="I671" i="14"/>
  <c r="K671" i="14" s="1"/>
  <c r="I670" i="14"/>
  <c r="K670" i="14" s="1"/>
  <c r="I669" i="14"/>
  <c r="K674" i="14" s="1"/>
  <c r="P667" i="14"/>
  <c r="O667" i="14"/>
  <c r="P666" i="14"/>
  <c r="O666" i="14"/>
  <c r="O665" i="14"/>
  <c r="N665" i="14"/>
  <c r="M665" i="14"/>
  <c r="P665" i="14" s="1"/>
  <c r="L665" i="14"/>
  <c r="N660" i="14"/>
  <c r="N658" i="14" s="1"/>
  <c r="L660" i="14"/>
  <c r="P659" i="14"/>
  <c r="O659" i="14"/>
  <c r="N657" i="14"/>
  <c r="O656" i="14"/>
  <c r="N656" i="14"/>
  <c r="M656" i="14"/>
  <c r="P656" i="14" s="1"/>
  <c r="L656" i="14"/>
  <c r="N655" i="14"/>
  <c r="J654" i="14"/>
  <c r="K652" i="14"/>
  <c r="J652" i="14"/>
  <c r="J651" i="14"/>
  <c r="J628" i="14" s="1"/>
  <c r="I651" i="14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P639" i="14"/>
  <c r="N639" i="14"/>
  <c r="M639" i="14"/>
  <c r="L639" i="14"/>
  <c r="O639" i="14" s="1"/>
  <c r="P634" i="14"/>
  <c r="N634" i="14"/>
  <c r="L634" i="14"/>
  <c r="L632" i="14" s="1"/>
  <c r="O632" i="14" s="1"/>
  <c r="P633" i="14"/>
  <c r="O633" i="14"/>
  <c r="N632" i="14"/>
  <c r="M632" i="14"/>
  <c r="P632" i="14" s="1"/>
  <c r="P631" i="14"/>
  <c r="N631" i="14"/>
  <c r="N629" i="14" s="1"/>
  <c r="M631" i="14"/>
  <c r="O630" i="14"/>
  <c r="N630" i="14"/>
  <c r="M630" i="14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K593" i="14" s="1"/>
  <c r="J583" i="14"/>
  <c r="J582" i="14"/>
  <c r="J576" i="14" s="1"/>
  <c r="J559" i="14" s="1"/>
  <c r="J577" i="14"/>
  <c r="I577" i="14"/>
  <c r="K577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M555" i="14"/>
  <c r="N549" i="14"/>
  <c r="N547" i="14" s="1"/>
  <c r="L549" i="14"/>
  <c r="P548" i="14"/>
  <c r="O548" i="14"/>
  <c r="N546" i="14"/>
  <c r="O545" i="14"/>
  <c r="N545" i="14"/>
  <c r="L545" i="14"/>
  <c r="N544" i="14"/>
  <c r="J543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K537" i="14" s="1"/>
  <c r="P535" i="14"/>
  <c r="L535" i="14"/>
  <c r="O535" i="14" s="1"/>
  <c r="P534" i="14"/>
  <c r="O534" i="14"/>
  <c r="P533" i="14"/>
  <c r="N533" i="14"/>
  <c r="M533" i="14"/>
  <c r="P528" i="14"/>
  <c r="N528" i="14"/>
  <c r="L528" i="14"/>
  <c r="P527" i="14"/>
  <c r="O527" i="14"/>
  <c r="P526" i="14"/>
  <c r="N526" i="14"/>
  <c r="M526" i="14"/>
  <c r="P525" i="14"/>
  <c r="N525" i="14"/>
  <c r="M525" i="14"/>
  <c r="O524" i="14"/>
  <c r="N524" i="14"/>
  <c r="M524" i="14"/>
  <c r="M523" i="14" s="1"/>
  <c r="P523" i="14" s="1"/>
  <c r="L524" i="14"/>
  <c r="N523" i="14"/>
  <c r="K517" i="14"/>
  <c r="J517" i="14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N505" i="14" s="1"/>
  <c r="P506" i="14"/>
  <c r="O506" i="14"/>
  <c r="O505" i="14"/>
  <c r="M505" i="14"/>
  <c r="P505" i="14" s="1"/>
  <c r="L505" i="14"/>
  <c r="N504" i="14"/>
  <c r="N502" i="14" s="1"/>
  <c r="M504" i="14"/>
  <c r="P504" i="14" s="1"/>
  <c r="L504" i="14"/>
  <c r="O504" i="14" s="1"/>
  <c r="N503" i="14"/>
  <c r="M503" i="14"/>
  <c r="L503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P477" i="14"/>
  <c r="N477" i="14"/>
  <c r="M477" i="14"/>
  <c r="N472" i="14"/>
  <c r="N469" i="14" s="1"/>
  <c r="L472" i="14"/>
  <c r="P471" i="14"/>
  <c r="O471" i="14"/>
  <c r="N468" i="14"/>
  <c r="M468" i="14"/>
  <c r="L468" i="14"/>
  <c r="J466" i="14"/>
  <c r="I466" i="14"/>
  <c r="K466" i="14" s="1"/>
  <c r="J465" i="14"/>
  <c r="I465" i="14"/>
  <c r="K465" i="14" s="1"/>
  <c r="I464" i="14"/>
  <c r="I463" i="14"/>
  <c r="I462" i="14"/>
  <c r="K462" i="14" s="1"/>
  <c r="I460" i="14"/>
  <c r="K458" i="14"/>
  <c r="P456" i="14"/>
  <c r="L456" i="14"/>
  <c r="O456" i="14" s="1"/>
  <c r="P455" i="14"/>
  <c r="O455" i="14"/>
  <c r="P454" i="14"/>
  <c r="N454" i="14"/>
  <c r="M454" i="14"/>
  <c r="L454" i="14"/>
  <c r="O454" i="14" s="1"/>
  <c r="P449" i="14"/>
  <c r="N449" i="14"/>
  <c r="L449" i="14"/>
  <c r="P448" i="14"/>
  <c r="O448" i="14"/>
  <c r="N447" i="14"/>
  <c r="M447" i="14"/>
  <c r="P447" i="14" s="1"/>
  <c r="P446" i="14"/>
  <c r="N446" i="14"/>
  <c r="M446" i="14"/>
  <c r="O445" i="14"/>
  <c r="N445" i="14"/>
  <c r="N444" i="14" s="1"/>
  <c r="M445" i="14"/>
  <c r="P445" i="14" s="1"/>
  <c r="L445" i="14"/>
  <c r="M444" i="14"/>
  <c r="P444" i="14" s="1"/>
  <c r="J443" i="14"/>
  <c r="J442" i="14"/>
  <c r="I441" i="14"/>
  <c r="K441" i="14" s="1"/>
  <c r="I440" i="14"/>
  <c r="K440" i="14" s="1"/>
  <c r="I439" i="14"/>
  <c r="I438" i="14"/>
  <c r="K438" i="14" s="1"/>
  <c r="I437" i="14"/>
  <c r="K437" i="14" s="1"/>
  <c r="I435" i="14"/>
  <c r="K435" i="14" s="1"/>
  <c r="J434" i="14"/>
  <c r="J418" i="14" s="1"/>
  <c r="P431" i="14"/>
  <c r="L431" i="14"/>
  <c r="O431" i="14" s="1"/>
  <c r="P430" i="14"/>
  <c r="O430" i="14"/>
  <c r="P429" i="14"/>
  <c r="N429" i="14"/>
  <c r="M429" i="14"/>
  <c r="L429" i="14"/>
  <c r="O429" i="14" s="1"/>
  <c r="N424" i="14"/>
  <c r="L424" i="14"/>
  <c r="M424" i="14" s="1"/>
  <c r="P423" i="14"/>
  <c r="O423" i="14"/>
  <c r="N422" i="14"/>
  <c r="N421" i="14"/>
  <c r="P420" i="14"/>
  <c r="N420" i="14"/>
  <c r="M420" i="14"/>
  <c r="L420" i="14"/>
  <c r="O420" i="14" s="1"/>
  <c r="N419" i="14"/>
  <c r="K413" i="14"/>
  <c r="K412" i="14"/>
  <c r="N410" i="14"/>
  <c r="N408" i="14" s="1"/>
  <c r="M410" i="14"/>
  <c r="P410" i="14" s="1"/>
  <c r="L410" i="14"/>
  <c r="P409" i="14"/>
  <c r="O409" i="14"/>
  <c r="N407" i="14"/>
  <c r="M407" i="14"/>
  <c r="P407" i="14" s="1"/>
  <c r="L407" i="14"/>
  <c r="O407" i="14" s="1"/>
  <c r="P406" i="14"/>
  <c r="O406" i="14"/>
  <c r="N403" i="14"/>
  <c r="M403" i="14"/>
  <c r="L403" i="14"/>
  <c r="O403" i="14" s="1"/>
  <c r="K401" i="14"/>
  <c r="J401" i="14"/>
  <c r="I401" i="14"/>
  <c r="K400" i="14"/>
  <c r="K399" i="14"/>
  <c r="N397" i="14"/>
  <c r="N395" i="14" s="1"/>
  <c r="M397" i="14"/>
  <c r="M395" i="14" s="1"/>
  <c r="P395" i="14" s="1"/>
  <c r="L397" i="14"/>
  <c r="O397" i="14" s="1"/>
  <c r="P396" i="14"/>
  <c r="O396" i="14"/>
  <c r="N394" i="14"/>
  <c r="N392" i="14" s="1"/>
  <c r="M394" i="14"/>
  <c r="M392" i="14" s="1"/>
  <c r="P392" i="14" s="1"/>
  <c r="L394" i="14"/>
  <c r="O394" i="14" s="1"/>
  <c r="P393" i="14"/>
  <c r="O393" i="14"/>
  <c r="N390" i="14"/>
  <c r="M390" i="14"/>
  <c r="L390" i="14"/>
  <c r="K388" i="14"/>
  <c r="J388" i="14"/>
  <c r="I388" i="14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M351" i="14" s="1"/>
  <c r="L353" i="14"/>
  <c r="L351" i="14" s="1"/>
  <c r="P352" i="14"/>
  <c r="O352" i="14"/>
  <c r="N350" i="14"/>
  <c r="N348" i="14" s="1"/>
  <c r="M350" i="14"/>
  <c r="L350" i="14"/>
  <c r="L348" i="14" s="1"/>
  <c r="P349" i="14"/>
  <c r="O349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L334" i="14" s="1"/>
  <c r="O334" i="14" s="1"/>
  <c r="P335" i="14"/>
  <c r="O335" i="14"/>
  <c r="N333" i="14"/>
  <c r="N331" i="14" s="1"/>
  <c r="M333" i="14"/>
  <c r="M331" i="14" s="1"/>
  <c r="L333" i="14"/>
  <c r="P332" i="14"/>
  <c r="O332" i="14"/>
  <c r="P329" i="14"/>
  <c r="O329" i="14"/>
  <c r="N329" i="14"/>
  <c r="M329" i="14"/>
  <c r="L329" i="14"/>
  <c r="I327" i="14"/>
  <c r="I325" i="14"/>
  <c r="N323" i="14"/>
  <c r="N321" i="14" s="1"/>
  <c r="M323" i="14"/>
  <c r="P323" i="14" s="1"/>
  <c r="L323" i="14"/>
  <c r="O323" i="14" s="1"/>
  <c r="P322" i="14"/>
  <c r="O322" i="14"/>
  <c r="N320" i="14"/>
  <c r="N318" i="14" s="1"/>
  <c r="M320" i="14"/>
  <c r="M318" i="14" s="1"/>
  <c r="P318" i="14" s="1"/>
  <c r="L320" i="14"/>
  <c r="O320" i="14" s="1"/>
  <c r="P319" i="14"/>
  <c r="O319" i="14"/>
  <c r="N316" i="14"/>
  <c r="M316" i="14"/>
  <c r="P316" i="14" s="1"/>
  <c r="L316" i="14"/>
  <c r="J314" i="14"/>
  <c r="I312" i="14"/>
  <c r="K312" i="14" s="1"/>
  <c r="I311" i="14"/>
  <c r="K311" i="14" s="1"/>
  <c r="I310" i="14"/>
  <c r="K310" i="14" s="1"/>
  <c r="I309" i="14"/>
  <c r="N306" i="14"/>
  <c r="N304" i="14" s="1"/>
  <c r="M306" i="14"/>
  <c r="P306" i="14" s="1"/>
  <c r="L306" i="14"/>
  <c r="O306" i="14" s="1"/>
  <c r="P305" i="14"/>
  <c r="O305" i="14"/>
  <c r="N303" i="14"/>
  <c r="M303" i="14"/>
  <c r="P303" i="14" s="1"/>
  <c r="L303" i="14"/>
  <c r="P302" i="14"/>
  <c r="O302" i="14"/>
  <c r="P299" i="14"/>
  <c r="N299" i="14"/>
  <c r="M299" i="14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K287" i="14" s="1"/>
  <c r="N285" i="14"/>
  <c r="N283" i="14" s="1"/>
  <c r="M285" i="14"/>
  <c r="P285" i="14" s="1"/>
  <c r="L285" i="14"/>
  <c r="L283" i="14" s="1"/>
  <c r="O283" i="14" s="1"/>
  <c r="P284" i="14"/>
  <c r="O284" i="14"/>
  <c r="N282" i="14"/>
  <c r="N280" i="14" s="1"/>
  <c r="M282" i="14"/>
  <c r="P282" i="14" s="1"/>
  <c r="L282" i="14"/>
  <c r="L280" i="14" s="1"/>
  <c r="O280" i="14" s="1"/>
  <c r="P281" i="14"/>
  <c r="O281" i="14"/>
  <c r="O278" i="14"/>
  <c r="N278" i="14"/>
  <c r="M278" i="14"/>
  <c r="P278" i="14" s="1"/>
  <c r="L278" i="14"/>
  <c r="J276" i="14"/>
  <c r="I271" i="14"/>
  <c r="I260" i="14" s="1"/>
  <c r="K260" i="14" s="1"/>
  <c r="N269" i="14"/>
  <c r="N267" i="14" s="1"/>
  <c r="M269" i="14"/>
  <c r="P269" i="14" s="1"/>
  <c r="L269" i="14"/>
  <c r="L267" i="14" s="1"/>
  <c r="O267" i="14" s="1"/>
  <c r="P268" i="14"/>
  <c r="O268" i="14"/>
  <c r="N266" i="14"/>
  <c r="N264" i="14" s="1"/>
  <c r="M266" i="14"/>
  <c r="M264" i="14" s="1"/>
  <c r="L266" i="14"/>
  <c r="P265" i="14"/>
  <c r="O265" i="14"/>
  <c r="P262" i="14"/>
  <c r="N262" i="14"/>
  <c r="M262" i="14"/>
  <c r="L262" i="14"/>
  <c r="O262" i="14" s="1"/>
  <c r="J260" i="14"/>
  <c r="K258" i="14"/>
  <c r="K257" i="14"/>
  <c r="I255" i="14"/>
  <c r="I248" i="14" s="1"/>
  <c r="K248" i="14" s="1"/>
  <c r="L253" i="14"/>
  <c r="L252" i="14"/>
  <c r="L251" i="14"/>
  <c r="L250" i="14"/>
  <c r="P249" i="14"/>
  <c r="N249" i="14"/>
  <c r="J248" i="14"/>
  <c r="K247" i="14"/>
  <c r="K246" i="14"/>
  <c r="I244" i="14"/>
  <c r="I237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N227" i="14"/>
  <c r="I225" i="14"/>
  <c r="I224" i="14"/>
  <c r="K224" i="14" s="1"/>
  <c r="I223" i="14"/>
  <c r="K223" i="14" s="1"/>
  <c r="L220" i="14"/>
  <c r="L219" i="14"/>
  <c r="L218" i="14"/>
  <c r="P217" i="14"/>
  <c r="N217" i="14"/>
  <c r="J216" i="14"/>
  <c r="I215" i="14"/>
  <c r="I208" i="14" s="1"/>
  <c r="K208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L187" i="14" s="1"/>
  <c r="O187" i="14" s="1"/>
  <c r="P188" i="14"/>
  <c r="O188" i="14"/>
  <c r="N186" i="14"/>
  <c r="M186" i="14"/>
  <c r="M184" i="14" s="1"/>
  <c r="L186" i="14"/>
  <c r="L184" i="14" s="1"/>
  <c r="P185" i="14"/>
  <c r="O185" i="14"/>
  <c r="O182" i="14"/>
  <c r="N182" i="14"/>
  <c r="M182" i="14"/>
  <c r="P182" i="14" s="1"/>
  <c r="L182" i="14"/>
  <c r="J177" i="14"/>
  <c r="I176" i="14"/>
  <c r="I174" i="14" s="1"/>
  <c r="I164" i="14" s="1"/>
  <c r="J174" i="14"/>
  <c r="N173" i="14"/>
  <c r="N171" i="14" s="1"/>
  <c r="M173" i="14"/>
  <c r="P173" i="14" s="1"/>
  <c r="L173" i="14"/>
  <c r="L171" i="14" s="1"/>
  <c r="O171" i="14" s="1"/>
  <c r="P172" i="14"/>
  <c r="O172" i="14"/>
  <c r="N170" i="14"/>
  <c r="N168" i="14" s="1"/>
  <c r="M170" i="14"/>
  <c r="M168" i="14" s="1"/>
  <c r="L170" i="14"/>
  <c r="L168" i="14" s="1"/>
  <c r="P169" i="14"/>
  <c r="O169" i="14"/>
  <c r="O166" i="14"/>
  <c r="N166" i="14"/>
  <c r="M166" i="14"/>
  <c r="P166" i="14" s="1"/>
  <c r="L166" i="14"/>
  <c r="J164" i="14"/>
  <c r="I159" i="14"/>
  <c r="K159" i="14" s="1"/>
  <c r="N157" i="14"/>
  <c r="N155" i="14" s="1"/>
  <c r="M157" i="14"/>
  <c r="P157" i="14" s="1"/>
  <c r="L157" i="14"/>
  <c r="O157" i="14" s="1"/>
  <c r="P156" i="14"/>
  <c r="O156" i="14"/>
  <c r="N154" i="14"/>
  <c r="N152" i="14" s="1"/>
  <c r="M154" i="14"/>
  <c r="M152" i="14" s="1"/>
  <c r="L154" i="14"/>
  <c r="P153" i="14"/>
  <c r="O153" i="14"/>
  <c r="N150" i="14"/>
  <c r="M150" i="14"/>
  <c r="L150" i="14"/>
  <c r="O150" i="14" s="1"/>
  <c r="J148" i="14"/>
  <c r="I146" i="14"/>
  <c r="K146" i="14" s="1"/>
  <c r="I145" i="14"/>
  <c r="I143" i="14" s="1"/>
  <c r="I144" i="14"/>
  <c r="N140" i="14"/>
  <c r="N138" i="14" s="1"/>
  <c r="M140" i="14"/>
  <c r="P140" i="14" s="1"/>
  <c r="L140" i="14"/>
  <c r="O140" i="14" s="1"/>
  <c r="P139" i="14"/>
  <c r="O139" i="14"/>
  <c r="N137" i="14"/>
  <c r="N135" i="14" s="1"/>
  <c r="M137" i="14"/>
  <c r="P137" i="14" s="1"/>
  <c r="L137" i="14"/>
  <c r="O137" i="14" s="1"/>
  <c r="P136" i="14"/>
  <c r="O136" i="14"/>
  <c r="N133" i="14"/>
  <c r="M133" i="14"/>
  <c r="P133" i="14" s="1"/>
  <c r="L133" i="14"/>
  <c r="O133" i="14" s="1"/>
  <c r="J130" i="14"/>
  <c r="N127" i="14"/>
  <c r="N125" i="14" s="1"/>
  <c r="M127" i="14"/>
  <c r="L127" i="14"/>
  <c r="O127" i="14" s="1"/>
  <c r="P126" i="14"/>
  <c r="O126" i="14"/>
  <c r="N124" i="14"/>
  <c r="N122" i="14" s="1"/>
  <c r="M124" i="14"/>
  <c r="P124" i="14" s="1"/>
  <c r="L124" i="14"/>
  <c r="O124" i="14" s="1"/>
  <c r="P123" i="14"/>
  <c r="O123" i="14"/>
  <c r="N120" i="14"/>
  <c r="M120" i="14"/>
  <c r="L120" i="14"/>
  <c r="O120" i="14" s="1"/>
  <c r="I116" i="14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J98" i="14"/>
  <c r="J86" i="14" s="1"/>
  <c r="I98" i="14"/>
  <c r="K98" i="14" s="1"/>
  <c r="N96" i="14"/>
  <c r="N94" i="14" s="1"/>
  <c r="M96" i="14"/>
  <c r="P96" i="14" s="1"/>
  <c r="L96" i="14"/>
  <c r="L94" i="14" s="1"/>
  <c r="O94" i="14" s="1"/>
  <c r="P95" i="14"/>
  <c r="O95" i="14"/>
  <c r="N93" i="14"/>
  <c r="N91" i="14" s="1"/>
  <c r="M93" i="14"/>
  <c r="L93" i="14"/>
  <c r="L91" i="14" s="1"/>
  <c r="P92" i="14"/>
  <c r="O92" i="14"/>
  <c r="O89" i="14"/>
  <c r="N89" i="14"/>
  <c r="M89" i="14"/>
  <c r="P89" i="14" s="1"/>
  <c r="L89" i="14"/>
  <c r="J87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J77" i="14"/>
  <c r="J65" i="14" s="1"/>
  <c r="J76" i="14"/>
  <c r="N74" i="14"/>
  <c r="N72" i="14" s="1"/>
  <c r="M74" i="14"/>
  <c r="P74" i="14" s="1"/>
  <c r="L74" i="14"/>
  <c r="L72" i="14" s="1"/>
  <c r="O72" i="14" s="1"/>
  <c r="P73" i="14"/>
  <c r="O73" i="14"/>
  <c r="N71" i="14"/>
  <c r="N69" i="14" s="1"/>
  <c r="M71" i="14"/>
  <c r="P71" i="14" s="1"/>
  <c r="L71" i="14"/>
  <c r="O71" i="14" s="1"/>
  <c r="P70" i="14"/>
  <c r="O70" i="14"/>
  <c r="P67" i="14"/>
  <c r="O67" i="14"/>
  <c r="N67" i="14"/>
  <c r="M67" i="14"/>
  <c r="L67" i="14"/>
  <c r="J64" i="14"/>
  <c r="N61" i="14"/>
  <c r="M61" i="14"/>
  <c r="L61" i="14"/>
  <c r="L59" i="14" s="1"/>
  <c r="P60" i="14"/>
  <c r="O60" i="14"/>
  <c r="N58" i="14"/>
  <c r="M58" i="14"/>
  <c r="L58" i="14"/>
  <c r="L56" i="14" s="1"/>
  <c r="P57" i="14"/>
  <c r="O57" i="14"/>
  <c r="N54" i="14"/>
  <c r="M54" i="14"/>
  <c r="P54" i="14" s="1"/>
  <c r="L54" i="14"/>
  <c r="N49" i="14"/>
  <c r="N47" i="14" s="1"/>
  <c r="M49" i="14"/>
  <c r="P49" i="14" s="1"/>
  <c r="L49" i="14"/>
  <c r="O49" i="14" s="1"/>
  <c r="P48" i="14"/>
  <c r="O48" i="14"/>
  <c r="N46" i="14"/>
  <c r="M46" i="14"/>
  <c r="M44" i="14" s="1"/>
  <c r="L46" i="14"/>
  <c r="P45" i="14"/>
  <c r="O45" i="14"/>
  <c r="P42" i="14"/>
  <c r="O42" i="14"/>
  <c r="N42" i="14"/>
  <c r="M42" i="14"/>
  <c r="L42" i="14"/>
  <c r="N36" i="14"/>
  <c r="M36" i="14"/>
  <c r="P36" i="14" s="1"/>
  <c r="N35" i="14"/>
  <c r="N34" i="14" s="1"/>
  <c r="M35" i="14"/>
  <c r="P35" i="14" s="1"/>
  <c r="L35" i="14"/>
  <c r="N33" i="14"/>
  <c r="P32" i="14"/>
  <c r="O32" i="14"/>
  <c r="N32" i="14"/>
  <c r="N29" i="14" s="1"/>
  <c r="N28" i="14" s="1"/>
  <c r="M32" i="14"/>
  <c r="L32" i="14"/>
  <c r="N30" i="14"/>
  <c r="M29" i="14"/>
  <c r="P29" i="14" s="1"/>
  <c r="L29" i="14"/>
  <c r="P25" i="14"/>
  <c r="O25" i="14"/>
  <c r="N25" i="14"/>
  <c r="N15" i="14" s="1"/>
  <c r="M25" i="14"/>
  <c r="L25" i="14"/>
  <c r="N22" i="14"/>
  <c r="M22" i="14"/>
  <c r="P22" i="14" s="1"/>
  <c r="L22" i="14"/>
  <c r="N19" i="14"/>
  <c r="M15" i="14"/>
  <c r="P15" i="14" s="1"/>
  <c r="L15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O808" i="13"/>
  <c r="M808" i="13"/>
  <c r="P808" i="13" s="1"/>
  <c r="L808" i="13"/>
  <c r="M807" i="13"/>
  <c r="P807" i="13" s="1"/>
  <c r="L807" i="13"/>
  <c r="O807" i="13" s="1"/>
  <c r="N806" i="13"/>
  <c r="M806" i="13"/>
  <c r="P806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P796" i="13"/>
  <c r="O796" i="13"/>
  <c r="N796" i="13"/>
  <c r="M796" i="13"/>
  <c r="L796" i="13"/>
  <c r="P791" i="13"/>
  <c r="N791" i="13"/>
  <c r="N788" i="13" s="1"/>
  <c r="N786" i="13" s="1"/>
  <c r="L791" i="13"/>
  <c r="L788" i="13" s="1"/>
  <c r="O788" i="13" s="1"/>
  <c r="P790" i="13"/>
  <c r="O790" i="13"/>
  <c r="N789" i="13"/>
  <c r="M789" i="13"/>
  <c r="P789" i="13" s="1"/>
  <c r="M788" i="13"/>
  <c r="P788" i="13" s="1"/>
  <c r="N787" i="13"/>
  <c r="M787" i="13"/>
  <c r="P787" i="13" s="1"/>
  <c r="L787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P774" i="13"/>
  <c r="O774" i="13"/>
  <c r="P773" i="13"/>
  <c r="O773" i="13"/>
  <c r="N773" i="13"/>
  <c r="M773" i="13"/>
  <c r="L773" i="13"/>
  <c r="O772" i="13"/>
  <c r="N772" i="13"/>
  <c r="M772" i="13"/>
  <c r="P772" i="13" s="1"/>
  <c r="L772" i="13"/>
  <c r="N771" i="13"/>
  <c r="M771" i="13"/>
  <c r="L771" i="13"/>
  <c r="O771" i="13" s="1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P758" i="13"/>
  <c r="O758" i="13"/>
  <c r="P757" i="13"/>
  <c r="O757" i="13"/>
  <c r="N757" i="13"/>
  <c r="M757" i="13"/>
  <c r="L757" i="13"/>
  <c r="O756" i="13"/>
  <c r="N756" i="13"/>
  <c r="M756" i="13"/>
  <c r="P756" i="13" s="1"/>
  <c r="L756" i="13"/>
  <c r="N755" i="13"/>
  <c r="N754" i="13" s="1"/>
  <c r="M755" i="13"/>
  <c r="L755" i="13"/>
  <c r="O755" i="13" s="1"/>
  <c r="L754" i="13"/>
  <c r="O754" i="13" s="1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P741" i="13"/>
  <c r="O741" i="13"/>
  <c r="P740" i="13"/>
  <c r="O740" i="13"/>
  <c r="N740" i="13"/>
  <c r="M740" i="13"/>
  <c r="L740" i="13"/>
  <c r="O739" i="13"/>
  <c r="N739" i="13"/>
  <c r="M739" i="13"/>
  <c r="P739" i="13" s="1"/>
  <c r="L739" i="13"/>
  <c r="N738" i="13"/>
  <c r="N737" i="13" s="1"/>
  <c r="M738" i="13"/>
  <c r="L738" i="13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N690" i="13"/>
  <c r="L690" i="13"/>
  <c r="N688" i="13"/>
  <c r="N687" i="13"/>
  <c r="N686" i="13"/>
  <c r="N685" i="13" s="1"/>
  <c r="M686" i="13"/>
  <c r="L686" i="13"/>
  <c r="O686" i="13" s="1"/>
  <c r="J679" i="13"/>
  <c r="J678" i="13" s="1"/>
  <c r="I678" i="13"/>
  <c r="K678" i="13" s="1"/>
  <c r="J675" i="13"/>
  <c r="I671" i="13"/>
  <c r="K671" i="13" s="1"/>
  <c r="I670" i="13"/>
  <c r="K670" i="13" s="1"/>
  <c r="I669" i="13"/>
  <c r="K672" i="13" s="1"/>
  <c r="P667" i="13"/>
  <c r="O667" i="13"/>
  <c r="P666" i="13"/>
  <c r="O666" i="13"/>
  <c r="N665" i="13"/>
  <c r="M665" i="13"/>
  <c r="P665" i="13" s="1"/>
  <c r="L665" i="13"/>
  <c r="O665" i="13" s="1"/>
  <c r="N660" i="13"/>
  <c r="L660" i="13"/>
  <c r="L658" i="13" s="1"/>
  <c r="O658" i="13" s="1"/>
  <c r="P659" i="13"/>
  <c r="O659" i="13"/>
  <c r="N658" i="13"/>
  <c r="N657" i="13"/>
  <c r="P656" i="13"/>
  <c r="N656" i="13"/>
  <c r="M656" i="13"/>
  <c r="L656" i="13"/>
  <c r="N655" i="13"/>
  <c r="K652" i="13"/>
  <c r="J652" i="13"/>
  <c r="J651" i="13"/>
  <c r="J628" i="13" s="1"/>
  <c r="I651" i="13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P634" i="13"/>
  <c r="N634" i="13"/>
  <c r="L634" i="13"/>
  <c r="L632" i="13" s="1"/>
  <c r="O632" i="13" s="1"/>
  <c r="P633" i="13"/>
  <c r="O633" i="13"/>
  <c r="P632" i="13"/>
  <c r="N632" i="13"/>
  <c r="M632" i="13"/>
  <c r="N631" i="13"/>
  <c r="M631" i="13"/>
  <c r="P631" i="13" s="1"/>
  <c r="N630" i="13"/>
  <c r="M630" i="13"/>
  <c r="P630" i="13" s="1"/>
  <c r="L630" i="13"/>
  <c r="O630" i="13" s="1"/>
  <c r="M629" i="13"/>
  <c r="P629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J593" i="13"/>
  <c r="I593" i="13"/>
  <c r="I592" i="13" s="1"/>
  <c r="J583" i="13"/>
  <c r="J577" i="13" s="1"/>
  <c r="J582" i="13"/>
  <c r="I577" i="13"/>
  <c r="K577" i="13" s="1"/>
  <c r="J576" i="13"/>
  <c r="J559" i="13" s="1"/>
  <c r="J543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O557" i="13" s="1"/>
  <c r="P556" i="13"/>
  <c r="O556" i="13"/>
  <c r="N555" i="13"/>
  <c r="N545" i="13" s="1"/>
  <c r="N544" i="13" s="1"/>
  <c r="M555" i="13"/>
  <c r="N549" i="13"/>
  <c r="L549" i="13"/>
  <c r="O549" i="13" s="1"/>
  <c r="P548" i="13"/>
  <c r="O548" i="13"/>
  <c r="N547" i="13"/>
  <c r="N546" i="13"/>
  <c r="L545" i="13"/>
  <c r="I542" i="13"/>
  <c r="K542" i="13" s="1"/>
  <c r="I541" i="13"/>
  <c r="K541" i="13" s="1"/>
  <c r="I540" i="13"/>
  <c r="K540" i="13" s="1"/>
  <c r="I539" i="13"/>
  <c r="I538" i="13"/>
  <c r="K538" i="13" s="1"/>
  <c r="I537" i="13"/>
  <c r="I522" i="13" s="1"/>
  <c r="K522" i="13" s="1"/>
  <c r="P535" i="13"/>
  <c r="L535" i="13"/>
  <c r="P534" i="13"/>
  <c r="O534" i="13"/>
  <c r="N533" i="13"/>
  <c r="M533" i="13"/>
  <c r="P533" i="13" s="1"/>
  <c r="P528" i="13"/>
  <c r="N528" i="13"/>
  <c r="L528" i="13"/>
  <c r="O528" i="13" s="1"/>
  <c r="P527" i="13"/>
  <c r="O527" i="13"/>
  <c r="P526" i="13"/>
  <c r="N526" i="13"/>
  <c r="M526" i="13"/>
  <c r="P525" i="13"/>
  <c r="N525" i="13"/>
  <c r="M525" i="13"/>
  <c r="P524" i="13"/>
  <c r="O524" i="13"/>
  <c r="N524" i="13"/>
  <c r="M524" i="13"/>
  <c r="L524" i="13"/>
  <c r="N523" i="13"/>
  <c r="M523" i="13"/>
  <c r="P523" i="13" s="1"/>
  <c r="K517" i="13"/>
  <c r="J517" i="13"/>
  <c r="J501" i="13" s="1"/>
  <c r="K516" i="13"/>
  <c r="P514" i="13"/>
  <c r="O514" i="13"/>
  <c r="P513" i="13"/>
  <c r="O513" i="13"/>
  <c r="P512" i="13"/>
  <c r="O512" i="13"/>
  <c r="N512" i="13"/>
  <c r="M512" i="13"/>
  <c r="L512" i="13"/>
  <c r="P507" i="13"/>
  <c r="O507" i="13"/>
  <c r="N507" i="13"/>
  <c r="N504" i="13" s="1"/>
  <c r="P506" i="13"/>
  <c r="O506" i="13"/>
  <c r="O505" i="13"/>
  <c r="N505" i="13"/>
  <c r="M505" i="13"/>
  <c r="P505" i="13" s="1"/>
  <c r="L505" i="13"/>
  <c r="O504" i="13"/>
  <c r="M504" i="13"/>
  <c r="P504" i="13" s="1"/>
  <c r="L504" i="13"/>
  <c r="N503" i="13"/>
  <c r="M503" i="13"/>
  <c r="P503" i="13" s="1"/>
  <c r="L503" i="13"/>
  <c r="M502" i="13"/>
  <c r="P502" i="13" s="1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P477" i="13"/>
  <c r="N477" i="13"/>
  <c r="M477" i="13"/>
  <c r="P472" i="13"/>
  <c r="N472" i="13"/>
  <c r="N469" i="13" s="1"/>
  <c r="L472" i="13"/>
  <c r="O472" i="13" s="1"/>
  <c r="P471" i="13"/>
  <c r="O471" i="13"/>
  <c r="N470" i="13"/>
  <c r="M470" i="13"/>
  <c r="P470" i="13" s="1"/>
  <c r="M469" i="13"/>
  <c r="P469" i="13" s="1"/>
  <c r="N468" i="13"/>
  <c r="M468" i="13"/>
  <c r="L468" i="13"/>
  <c r="O468" i="13" s="1"/>
  <c r="J466" i="13"/>
  <c r="I466" i="13"/>
  <c r="K466" i="13" s="1"/>
  <c r="J465" i="13"/>
  <c r="I465" i="13"/>
  <c r="K465" i="13" s="1"/>
  <c r="I464" i="13"/>
  <c r="I463" i="13"/>
  <c r="I462" i="13"/>
  <c r="K462" i="13" s="1"/>
  <c r="I460" i="13"/>
  <c r="I442" i="13" s="1"/>
  <c r="K442" i="13" s="1"/>
  <c r="K458" i="13"/>
  <c r="P456" i="13"/>
  <c r="L456" i="13"/>
  <c r="P455" i="13"/>
  <c r="O455" i="13"/>
  <c r="P454" i="13"/>
  <c r="N454" i="13"/>
  <c r="M454" i="13"/>
  <c r="L454" i="13"/>
  <c r="O454" i="13" s="1"/>
  <c r="P449" i="13"/>
  <c r="N449" i="13"/>
  <c r="N446" i="13" s="1"/>
  <c r="L449" i="13"/>
  <c r="L447" i="13" s="1"/>
  <c r="O447" i="13" s="1"/>
  <c r="P448" i="13"/>
  <c r="O448" i="13"/>
  <c r="P447" i="13"/>
  <c r="M447" i="13"/>
  <c r="M446" i="13"/>
  <c r="P446" i="13" s="1"/>
  <c r="N445" i="13"/>
  <c r="M445" i="13"/>
  <c r="P445" i="13" s="1"/>
  <c r="L445" i="13"/>
  <c r="O445" i="13" s="1"/>
  <c r="N444" i="13"/>
  <c r="J443" i="13"/>
  <c r="I443" i="13"/>
  <c r="K443" i="13" s="1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J418" i="13" s="1"/>
  <c r="P431" i="13"/>
  <c r="L431" i="13"/>
  <c r="O431" i="13" s="1"/>
  <c r="P430" i="13"/>
  <c r="O430" i="13"/>
  <c r="P429" i="13"/>
  <c r="N429" i="13"/>
  <c r="M429" i="13"/>
  <c r="N424" i="13"/>
  <c r="L424" i="13"/>
  <c r="M424" i="13" s="1"/>
  <c r="P423" i="13"/>
  <c r="O423" i="13"/>
  <c r="N420" i="13"/>
  <c r="M420" i="13"/>
  <c r="P420" i="13" s="1"/>
  <c r="L420" i="13"/>
  <c r="K413" i="13"/>
  <c r="K412" i="13"/>
  <c r="N410" i="13"/>
  <c r="N408" i="13" s="1"/>
  <c r="M410" i="13"/>
  <c r="L410" i="13"/>
  <c r="P409" i="13"/>
  <c r="O409" i="13"/>
  <c r="N407" i="13"/>
  <c r="N405" i="13" s="1"/>
  <c r="M407" i="13"/>
  <c r="L407" i="13"/>
  <c r="P406" i="13"/>
  <c r="O406" i="13"/>
  <c r="P403" i="13"/>
  <c r="N403" i="13"/>
  <c r="M403" i="13"/>
  <c r="L403" i="13"/>
  <c r="O403" i="13" s="1"/>
  <c r="J401" i="13"/>
  <c r="I401" i="13"/>
  <c r="K401" i="13" s="1"/>
  <c r="K400" i="13"/>
  <c r="K399" i="13"/>
  <c r="N397" i="13"/>
  <c r="M397" i="13"/>
  <c r="M395" i="13" s="1"/>
  <c r="P395" i="13" s="1"/>
  <c r="L397" i="13"/>
  <c r="P396" i="13"/>
  <c r="O396" i="13"/>
  <c r="N394" i="13"/>
  <c r="N392" i="13" s="1"/>
  <c r="M394" i="13"/>
  <c r="L394" i="13"/>
  <c r="O394" i="13" s="1"/>
  <c r="P393" i="13"/>
  <c r="O393" i="13"/>
  <c r="P390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5" i="13" s="1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M353" i="13"/>
  <c r="L353" i="13"/>
  <c r="L351" i="13" s="1"/>
  <c r="P352" i="13"/>
  <c r="O352" i="13"/>
  <c r="N350" i="13"/>
  <c r="M350" i="13"/>
  <c r="M348" i="13" s="1"/>
  <c r="L350" i="13"/>
  <c r="P349" i="13"/>
  <c r="O349" i="13"/>
  <c r="P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P335" i="13"/>
  <c r="O335" i="13"/>
  <c r="N333" i="13"/>
  <c r="M333" i="13"/>
  <c r="M331" i="13" s="1"/>
  <c r="L333" i="13"/>
  <c r="L331" i="13" s="1"/>
  <c r="P332" i="13"/>
  <c r="O332" i="13"/>
  <c r="P329" i="13"/>
  <c r="O329" i="13"/>
  <c r="N329" i="13"/>
  <c r="M329" i="13"/>
  <c r="L329" i="13"/>
  <c r="I327" i="13"/>
  <c r="I325" i="13"/>
  <c r="K325" i="13" s="1"/>
  <c r="N323" i="13"/>
  <c r="N321" i="13" s="1"/>
  <c r="M323" i="13"/>
  <c r="P323" i="13" s="1"/>
  <c r="L323" i="13"/>
  <c r="P322" i="13"/>
  <c r="O322" i="13"/>
  <c r="N320" i="13"/>
  <c r="N318" i="13" s="1"/>
  <c r="M320" i="13"/>
  <c r="P320" i="13" s="1"/>
  <c r="L320" i="13"/>
  <c r="P319" i="13"/>
  <c r="O319" i="13"/>
  <c r="P316" i="13"/>
  <c r="N316" i="13"/>
  <c r="M316" i="13"/>
  <c r="L316" i="13"/>
  <c r="O316" i="13" s="1"/>
  <c r="J314" i="13"/>
  <c r="I312" i="13"/>
  <c r="K312" i="13" s="1"/>
  <c r="I311" i="13"/>
  <c r="K311" i="13" s="1"/>
  <c r="I310" i="13"/>
  <c r="K310" i="13" s="1"/>
  <c r="I309" i="13"/>
  <c r="N306" i="13"/>
  <c r="N304" i="13" s="1"/>
  <c r="M306" i="13"/>
  <c r="L306" i="13"/>
  <c r="L304" i="13" s="1"/>
  <c r="O304" i="13" s="1"/>
  <c r="P305" i="13"/>
  <c r="O305" i="13"/>
  <c r="N303" i="13"/>
  <c r="N301" i="13" s="1"/>
  <c r="M303" i="13"/>
  <c r="L303" i="13"/>
  <c r="L301" i="13" s="1"/>
  <c r="P302" i="13"/>
  <c r="O302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K287" i="13" s="1"/>
  <c r="N285" i="13"/>
  <c r="N283" i="13" s="1"/>
  <c r="M285" i="13"/>
  <c r="L285" i="13"/>
  <c r="O285" i="13" s="1"/>
  <c r="P284" i="13"/>
  <c r="O284" i="13"/>
  <c r="N282" i="13"/>
  <c r="M282" i="13"/>
  <c r="L282" i="13"/>
  <c r="O282" i="13" s="1"/>
  <c r="P281" i="13"/>
  <c r="O281" i="13"/>
  <c r="O278" i="13"/>
  <c r="N278" i="13"/>
  <c r="M278" i="13"/>
  <c r="L278" i="13"/>
  <c r="J276" i="13"/>
  <c r="I271" i="13"/>
  <c r="K271" i="13" s="1"/>
  <c r="N269" i="13"/>
  <c r="N267" i="13" s="1"/>
  <c r="M269" i="13"/>
  <c r="M267" i="13" s="1"/>
  <c r="P267" i="13" s="1"/>
  <c r="L269" i="13"/>
  <c r="P268" i="13"/>
  <c r="O268" i="13"/>
  <c r="N266" i="13"/>
  <c r="M266" i="13"/>
  <c r="M264" i="13" s="1"/>
  <c r="L266" i="13"/>
  <c r="L264" i="13" s="1"/>
  <c r="P265" i="13"/>
  <c r="O265" i="13"/>
  <c r="P262" i="13"/>
  <c r="N262" i="13"/>
  <c r="M262" i="13"/>
  <c r="L262" i="13"/>
  <c r="J260" i="13"/>
  <c r="K258" i="13"/>
  <c r="K257" i="13"/>
  <c r="I255" i="13"/>
  <c r="L253" i="13"/>
  <c r="L252" i="13"/>
  <c r="L251" i="13"/>
  <c r="L250" i="13"/>
  <c r="P249" i="13"/>
  <c r="N249" i="13"/>
  <c r="J248" i="13"/>
  <c r="J226" i="13" s="1"/>
  <c r="J180" i="13" s="1"/>
  <c r="K247" i="13"/>
  <c r="K246" i="13"/>
  <c r="I244" i="13"/>
  <c r="L242" i="13"/>
  <c r="L241" i="13"/>
  <c r="L240" i="13"/>
  <c r="L239" i="13"/>
  <c r="P238" i="13"/>
  <c r="N238" i="13"/>
  <c r="N227" i="13" s="1"/>
  <c r="J237" i="13"/>
  <c r="K236" i="13"/>
  <c r="J236" i="13"/>
  <c r="I236" i="13"/>
  <c r="K235" i="13"/>
  <c r="J235" i="13"/>
  <c r="I235" i="13"/>
  <c r="J233" i="13"/>
  <c r="N231" i="13"/>
  <c r="N230" i="13"/>
  <c r="N229" i="13"/>
  <c r="N228" i="13"/>
  <c r="I225" i="13"/>
  <c r="K225" i="13" s="1"/>
  <c r="I224" i="13"/>
  <c r="I216" i="13" s="1"/>
  <c r="K216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I204" i="13"/>
  <c r="L202" i="13"/>
  <c r="L201" i="13"/>
  <c r="L200" i="13"/>
  <c r="L199" i="13"/>
  <c r="P198" i="13"/>
  <c r="N198" i="13"/>
  <c r="J197" i="13"/>
  <c r="J194" i="13"/>
  <c r="I193" i="13"/>
  <c r="I190" i="13" s="1"/>
  <c r="K190" i="13" s="1"/>
  <c r="P191" i="13"/>
  <c r="L191" i="13"/>
  <c r="O191" i="13" s="1"/>
  <c r="J190" i="13"/>
  <c r="N189" i="13"/>
  <c r="N187" i="13" s="1"/>
  <c r="M189" i="13"/>
  <c r="P189" i="13" s="1"/>
  <c r="L189" i="13"/>
  <c r="O189" i="13" s="1"/>
  <c r="P188" i="13"/>
  <c r="O188" i="13"/>
  <c r="N186" i="13"/>
  <c r="N184" i="13" s="1"/>
  <c r="M186" i="13"/>
  <c r="L186" i="13"/>
  <c r="P185" i="13"/>
  <c r="O185" i="13"/>
  <c r="P182" i="13"/>
  <c r="N182" i="13"/>
  <c r="M182" i="13"/>
  <c r="L182" i="13"/>
  <c r="O182" i="13" s="1"/>
  <c r="J177" i="13"/>
  <c r="I176" i="13"/>
  <c r="K176" i="13" s="1"/>
  <c r="J174" i="13"/>
  <c r="J164" i="13" s="1"/>
  <c r="N173" i="13"/>
  <c r="N171" i="13" s="1"/>
  <c r="M173" i="13"/>
  <c r="P173" i="13" s="1"/>
  <c r="L173" i="13"/>
  <c r="O173" i="13" s="1"/>
  <c r="P172" i="13"/>
  <c r="O172" i="13"/>
  <c r="N170" i="13"/>
  <c r="M170" i="13"/>
  <c r="L170" i="13"/>
  <c r="P169" i="13"/>
  <c r="O169" i="13"/>
  <c r="P166" i="13"/>
  <c r="N166" i="13"/>
  <c r="M166" i="13"/>
  <c r="L166" i="13"/>
  <c r="I159" i="13"/>
  <c r="K159" i="13" s="1"/>
  <c r="N157" i="13"/>
  <c r="N155" i="13" s="1"/>
  <c r="M157" i="13"/>
  <c r="L157" i="13"/>
  <c r="L155" i="13" s="1"/>
  <c r="O155" i="13" s="1"/>
  <c r="P156" i="13"/>
  <c r="O156" i="13"/>
  <c r="N154" i="13"/>
  <c r="N152" i="13" s="1"/>
  <c r="M154" i="13"/>
  <c r="L154" i="13"/>
  <c r="L152" i="13" s="1"/>
  <c r="P153" i="13"/>
  <c r="O153" i="13"/>
  <c r="N150" i="13"/>
  <c r="M150" i="13"/>
  <c r="L150" i="13"/>
  <c r="O150" i="13" s="1"/>
  <c r="J148" i="13"/>
  <c r="I146" i="13"/>
  <c r="K146" i="13" s="1"/>
  <c r="I145" i="13"/>
  <c r="I143" i="13" s="1"/>
  <c r="I144" i="13"/>
  <c r="N140" i="13"/>
  <c r="N138" i="13" s="1"/>
  <c r="M140" i="13"/>
  <c r="L140" i="13"/>
  <c r="O140" i="13" s="1"/>
  <c r="P139" i="13"/>
  <c r="O139" i="13"/>
  <c r="N137" i="13"/>
  <c r="M137" i="13"/>
  <c r="P137" i="13" s="1"/>
  <c r="L137" i="13"/>
  <c r="O137" i="13" s="1"/>
  <c r="P136" i="13"/>
  <c r="O136" i="13"/>
  <c r="O133" i="13"/>
  <c r="N133" i="13"/>
  <c r="M133" i="13"/>
  <c r="L133" i="13"/>
  <c r="J130" i="13"/>
  <c r="N127" i="13"/>
  <c r="N125" i="13" s="1"/>
  <c r="M127" i="13"/>
  <c r="P127" i="13" s="1"/>
  <c r="L127" i="13"/>
  <c r="O127" i="13" s="1"/>
  <c r="P126" i="13"/>
  <c r="O126" i="13"/>
  <c r="N124" i="13"/>
  <c r="N122" i="13" s="1"/>
  <c r="M124" i="13"/>
  <c r="P124" i="13" s="1"/>
  <c r="L124" i="13"/>
  <c r="O124" i="13" s="1"/>
  <c r="P123" i="13"/>
  <c r="O123" i="13"/>
  <c r="N120" i="13"/>
  <c r="M120" i="13"/>
  <c r="L120" i="13"/>
  <c r="O120" i="13" s="1"/>
  <c r="K118" i="13"/>
  <c r="J118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K99" i="13" s="1"/>
  <c r="J98" i="13"/>
  <c r="J86" i="13" s="1"/>
  <c r="I98" i="13"/>
  <c r="K98" i="13" s="1"/>
  <c r="N96" i="13"/>
  <c r="M96" i="13"/>
  <c r="P96" i="13" s="1"/>
  <c r="L96" i="13"/>
  <c r="O96" i="13" s="1"/>
  <c r="P95" i="13"/>
  <c r="O95" i="13"/>
  <c r="N93" i="13"/>
  <c r="N91" i="13" s="1"/>
  <c r="M93" i="13"/>
  <c r="L93" i="13"/>
  <c r="L91" i="13" s="1"/>
  <c r="P92" i="13"/>
  <c r="O92" i="13"/>
  <c r="N89" i="13"/>
  <c r="M89" i="13"/>
  <c r="L89" i="13"/>
  <c r="O89" i="13" s="1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76" i="13"/>
  <c r="J64" i="13" s="1"/>
  <c r="N74" i="13"/>
  <c r="N72" i="13" s="1"/>
  <c r="M74" i="13"/>
  <c r="M72" i="13" s="1"/>
  <c r="P72" i="13" s="1"/>
  <c r="L74" i="13"/>
  <c r="O74" i="13" s="1"/>
  <c r="P73" i="13"/>
  <c r="O73" i="13"/>
  <c r="N71" i="13"/>
  <c r="N69" i="13" s="1"/>
  <c r="M71" i="13"/>
  <c r="M69" i="13" s="1"/>
  <c r="L71" i="13"/>
  <c r="P70" i="13"/>
  <c r="O70" i="13"/>
  <c r="P67" i="13"/>
  <c r="N67" i="13"/>
  <c r="M67" i="13"/>
  <c r="L67" i="13"/>
  <c r="J65" i="13"/>
  <c r="N61" i="13"/>
  <c r="N59" i="13" s="1"/>
  <c r="M61" i="13"/>
  <c r="M59" i="13" s="1"/>
  <c r="P59" i="13" s="1"/>
  <c r="L61" i="13"/>
  <c r="L59" i="13" s="1"/>
  <c r="O59" i="13" s="1"/>
  <c r="P60" i="13"/>
  <c r="O60" i="13"/>
  <c r="N58" i="13"/>
  <c r="M58" i="13"/>
  <c r="M56" i="13" s="1"/>
  <c r="L58" i="13"/>
  <c r="L56" i="13" s="1"/>
  <c r="P57" i="13"/>
  <c r="O57" i="13"/>
  <c r="O54" i="13"/>
  <c r="N54" i="13"/>
  <c r="M54" i="13"/>
  <c r="P54" i="13" s="1"/>
  <c r="L54" i="13"/>
  <c r="N49" i="13"/>
  <c r="N47" i="13" s="1"/>
  <c r="M49" i="13"/>
  <c r="L49" i="13"/>
  <c r="O49" i="13" s="1"/>
  <c r="P48" i="13"/>
  <c r="O48" i="13"/>
  <c r="N46" i="13"/>
  <c r="N44" i="13" s="1"/>
  <c r="M46" i="13"/>
  <c r="M44" i="13" s="1"/>
  <c r="L46" i="13"/>
  <c r="P45" i="13"/>
  <c r="O45" i="13"/>
  <c r="P42" i="13"/>
  <c r="N42" i="13"/>
  <c r="M42" i="13"/>
  <c r="L42" i="13"/>
  <c r="N36" i="13"/>
  <c r="M36" i="13"/>
  <c r="P36" i="13" s="1"/>
  <c r="N35" i="13"/>
  <c r="N34" i="13" s="1"/>
  <c r="M35" i="13"/>
  <c r="P35" i="13" s="1"/>
  <c r="L35" i="13"/>
  <c r="O35" i="13" s="1"/>
  <c r="M34" i="13"/>
  <c r="P34" i="13" s="1"/>
  <c r="N33" i="13"/>
  <c r="P32" i="13"/>
  <c r="O32" i="13"/>
  <c r="N32" i="13"/>
  <c r="N31" i="13" s="1"/>
  <c r="M32" i="13"/>
  <c r="L32" i="13"/>
  <c r="N30" i="13"/>
  <c r="N29" i="13"/>
  <c r="N28" i="13" s="1"/>
  <c r="M29" i="13"/>
  <c r="P29" i="13" s="1"/>
  <c r="L29" i="13"/>
  <c r="O29" i="13" s="1"/>
  <c r="O25" i="13"/>
  <c r="N25" i="13"/>
  <c r="M25" i="13"/>
  <c r="P25" i="13" s="1"/>
  <c r="L25" i="13"/>
  <c r="N22" i="13"/>
  <c r="M22" i="13"/>
  <c r="P22" i="13" s="1"/>
  <c r="L22" i="13"/>
  <c r="O22" i="13" s="1"/>
  <c r="M19" i="13"/>
  <c r="P19" i="13" s="1"/>
  <c r="N15" i="13"/>
  <c r="M15" i="13"/>
  <c r="P15" i="13" s="1"/>
  <c r="L15" i="13"/>
  <c r="O15" i="13" s="1"/>
  <c r="P12" i="13"/>
  <c r="O12" i="13"/>
  <c r="M12" i="13"/>
  <c r="L12" i="13"/>
  <c r="M9" i="13"/>
  <c r="P9" i="13" s="1"/>
  <c r="L9" i="13"/>
  <c r="O9" i="13" s="1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P809" i="12"/>
  <c r="O809" i="12"/>
  <c r="P808" i="12"/>
  <c r="N808" i="12"/>
  <c r="M808" i="12"/>
  <c r="L808" i="12"/>
  <c r="O808" i="12" s="1"/>
  <c r="O807" i="12"/>
  <c r="M807" i="12"/>
  <c r="L807" i="12"/>
  <c r="P806" i="12"/>
  <c r="N806" i="12"/>
  <c r="M806" i="12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L791" i="12"/>
  <c r="O791" i="12" s="1"/>
  <c r="P790" i="12"/>
  <c r="O790" i="12"/>
  <c r="P789" i="12"/>
  <c r="N789" i="12"/>
  <c r="M789" i="12"/>
  <c r="L789" i="12"/>
  <c r="O789" i="12" s="1"/>
  <c r="M788" i="12"/>
  <c r="P787" i="12"/>
  <c r="N787" i="12"/>
  <c r="N786" i="12" s="1"/>
  <c r="M787" i="12"/>
  <c r="L787" i="12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N773" i="12" s="1"/>
  <c r="P774" i="12"/>
  <c r="O774" i="12"/>
  <c r="O773" i="12"/>
  <c r="M773" i="12"/>
  <c r="P773" i="12" s="1"/>
  <c r="L773" i="12"/>
  <c r="P772" i="12"/>
  <c r="N772" i="12"/>
  <c r="N770" i="12" s="1"/>
  <c r="M772" i="12"/>
  <c r="L772" i="12"/>
  <c r="O772" i="12" s="1"/>
  <c r="O771" i="12"/>
  <c r="N771" i="12"/>
  <c r="M771" i="12"/>
  <c r="L771" i="12"/>
  <c r="L770" i="12"/>
  <c r="O770" i="12" s="1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N757" i="12" s="1"/>
  <c r="P758" i="12"/>
  <c r="O758" i="12"/>
  <c r="O757" i="12"/>
  <c r="M757" i="12"/>
  <c r="P757" i="12" s="1"/>
  <c r="L757" i="12"/>
  <c r="P756" i="12"/>
  <c r="N756" i="12"/>
  <c r="N754" i="12" s="1"/>
  <c r="M756" i="12"/>
  <c r="L756" i="12"/>
  <c r="O756" i="12" s="1"/>
  <c r="O755" i="12"/>
  <c r="N755" i="12"/>
  <c r="M755" i="12"/>
  <c r="L755" i="12"/>
  <c r="L754" i="12"/>
  <c r="O754" i="12" s="1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N740" i="12" s="1"/>
  <c r="P741" i="12"/>
  <c r="O741" i="12"/>
  <c r="O740" i="12"/>
  <c r="M740" i="12"/>
  <c r="P740" i="12" s="1"/>
  <c r="L740" i="12"/>
  <c r="P739" i="12"/>
  <c r="N739" i="12"/>
  <c r="N737" i="12" s="1"/>
  <c r="M739" i="12"/>
  <c r="L739" i="12"/>
  <c r="O739" i="12" s="1"/>
  <c r="O738" i="12"/>
  <c r="N738" i="12"/>
  <c r="M738" i="12"/>
  <c r="L738" i="12"/>
  <c r="L737" i="12"/>
  <c r="O737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N688" i="12" s="1"/>
  <c r="L690" i="12"/>
  <c r="O690" i="12" s="1"/>
  <c r="N687" i="12"/>
  <c r="N685" i="12" s="1"/>
  <c r="O686" i="12"/>
  <c r="N686" i="12"/>
  <c r="M686" i="12"/>
  <c r="L686" i="12"/>
  <c r="J679" i="12"/>
  <c r="J678" i="12"/>
  <c r="I678" i="12"/>
  <c r="K678" i="12" s="1"/>
  <c r="J675" i="12"/>
  <c r="J669" i="12" s="1"/>
  <c r="I671" i="12"/>
  <c r="K671" i="12" s="1"/>
  <c r="I670" i="12"/>
  <c r="K670" i="12" s="1"/>
  <c r="I669" i="12"/>
  <c r="K674" i="12" s="1"/>
  <c r="P667" i="12"/>
  <c r="O667" i="12"/>
  <c r="P666" i="12"/>
  <c r="O666" i="12"/>
  <c r="O665" i="12"/>
  <c r="N665" i="12"/>
  <c r="M665" i="12"/>
  <c r="P665" i="12" s="1"/>
  <c r="L665" i="12"/>
  <c r="N660" i="12"/>
  <c r="N658" i="12" s="1"/>
  <c r="L660" i="12"/>
  <c r="P659" i="12"/>
  <c r="O659" i="12"/>
  <c r="N657" i="12"/>
  <c r="O656" i="12"/>
  <c r="N656" i="12"/>
  <c r="M656" i="12"/>
  <c r="P656" i="12" s="1"/>
  <c r="L656" i="12"/>
  <c r="N655" i="12"/>
  <c r="J654" i="12"/>
  <c r="K652" i="12"/>
  <c r="J652" i="12"/>
  <c r="J651" i="12"/>
  <c r="J628" i="12" s="1"/>
  <c r="I651" i="12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P634" i="12"/>
  <c r="N634" i="12"/>
  <c r="L634" i="12"/>
  <c r="L632" i="12" s="1"/>
  <c r="O632" i="12" s="1"/>
  <c r="P633" i="12"/>
  <c r="O633" i="12"/>
  <c r="N632" i="12"/>
  <c r="M632" i="12"/>
  <c r="P632" i="12" s="1"/>
  <c r="P631" i="12"/>
  <c r="N631" i="12"/>
  <c r="N629" i="12" s="1"/>
  <c r="M631" i="12"/>
  <c r="O630" i="12"/>
  <c r="N630" i="12"/>
  <c r="M630" i="12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J593" i="12"/>
  <c r="J592" i="12" s="1"/>
  <c r="I593" i="12"/>
  <c r="I592" i="12" s="1"/>
  <c r="J583" i="12"/>
  <c r="J582" i="12"/>
  <c r="J576" i="12" s="1"/>
  <c r="J559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P556" i="12"/>
  <c r="O556" i="12"/>
  <c r="N555" i="12"/>
  <c r="M555" i="12"/>
  <c r="N549" i="12"/>
  <c r="N547" i="12" s="1"/>
  <c r="L549" i="12"/>
  <c r="L546" i="12" s="1"/>
  <c r="P548" i="12"/>
  <c r="O548" i="12"/>
  <c r="N546" i="12"/>
  <c r="O545" i="12"/>
  <c r="N545" i="12"/>
  <c r="L545" i="12"/>
  <c r="N544" i="12"/>
  <c r="J543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L533" i="12"/>
  <c r="O533" i="12" s="1"/>
  <c r="P528" i="12"/>
  <c r="N528" i="12"/>
  <c r="L528" i="12"/>
  <c r="P527" i="12"/>
  <c r="O527" i="12"/>
  <c r="N526" i="12"/>
  <c r="M526" i="12"/>
  <c r="P526" i="12" s="1"/>
  <c r="P525" i="12"/>
  <c r="N525" i="12"/>
  <c r="M525" i="12"/>
  <c r="O524" i="12"/>
  <c r="N524" i="12"/>
  <c r="M524" i="12"/>
  <c r="M523" i="12" s="1"/>
  <c r="P523" i="12" s="1"/>
  <c r="L524" i="12"/>
  <c r="N523" i="12"/>
  <c r="K517" i="12"/>
  <c r="J517" i="12"/>
  <c r="K516" i="12"/>
  <c r="P514" i="12"/>
  <c r="O514" i="12"/>
  <c r="P513" i="12"/>
  <c r="O513" i="12"/>
  <c r="O512" i="12"/>
  <c r="N512" i="12"/>
  <c r="M512" i="12"/>
  <c r="P512" i="12" s="1"/>
  <c r="L512" i="12"/>
  <c r="P507" i="12"/>
  <c r="O507" i="12"/>
  <c r="N507" i="12"/>
  <c r="N505" i="12" s="1"/>
  <c r="P506" i="12"/>
  <c r="O506" i="12"/>
  <c r="O505" i="12"/>
  <c r="M505" i="12"/>
  <c r="P505" i="12" s="1"/>
  <c r="L505" i="12"/>
  <c r="P504" i="12"/>
  <c r="N504" i="12"/>
  <c r="N502" i="12" s="1"/>
  <c r="M504" i="12"/>
  <c r="L504" i="12"/>
  <c r="O504" i="12" s="1"/>
  <c r="O503" i="12"/>
  <c r="N503" i="12"/>
  <c r="M503" i="12"/>
  <c r="L503" i="12"/>
  <c r="L502" i="12"/>
  <c r="O502" i="12" s="1"/>
  <c r="K501" i="12"/>
  <c r="J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L477" i="12"/>
  <c r="O477" i="12" s="1"/>
  <c r="N472" i="12"/>
  <c r="L472" i="12"/>
  <c r="P471" i="12"/>
  <c r="O471" i="12"/>
  <c r="N470" i="12"/>
  <c r="N469" i="12"/>
  <c r="P468" i="12"/>
  <c r="N468" i="12"/>
  <c r="N467" i="12" s="1"/>
  <c r="M468" i="12"/>
  <c r="L468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60" i="12" s="1"/>
  <c r="K458" i="12"/>
  <c r="P456" i="12"/>
  <c r="L456" i="12"/>
  <c r="O456" i="12" s="1"/>
  <c r="P455" i="12"/>
  <c r="O455" i="12"/>
  <c r="P454" i="12"/>
  <c r="N454" i="12"/>
  <c r="M454" i="12"/>
  <c r="N449" i="12"/>
  <c r="L449" i="12"/>
  <c r="P448" i="12"/>
  <c r="O448" i="12"/>
  <c r="N447" i="12"/>
  <c r="N446" i="12"/>
  <c r="N445" i="12"/>
  <c r="N444" i="12" s="1"/>
  <c r="M445" i="12"/>
  <c r="L445" i="12"/>
  <c r="O445" i="12" s="1"/>
  <c r="J443" i="12"/>
  <c r="J442" i="12"/>
  <c r="I441" i="12"/>
  <c r="K441" i="12" s="1"/>
  <c r="I440" i="12"/>
  <c r="I439" i="12"/>
  <c r="K439" i="12" s="1"/>
  <c r="I438" i="12"/>
  <c r="K438" i="12" s="1"/>
  <c r="I437" i="12"/>
  <c r="K437" i="12" s="1"/>
  <c r="I435" i="12"/>
  <c r="I433" i="12" s="1"/>
  <c r="J434" i="12"/>
  <c r="P431" i="12"/>
  <c r="L431" i="12"/>
  <c r="P430" i="12"/>
  <c r="O430" i="12"/>
  <c r="N429" i="12"/>
  <c r="M429" i="12"/>
  <c r="P429" i="12" s="1"/>
  <c r="N424" i="12"/>
  <c r="N422" i="12" s="1"/>
  <c r="L424" i="12"/>
  <c r="O424" i="12" s="1"/>
  <c r="P423" i="12"/>
  <c r="O423" i="12"/>
  <c r="N421" i="12"/>
  <c r="O420" i="12"/>
  <c r="N420" i="12"/>
  <c r="M420" i="12"/>
  <c r="P420" i="12" s="1"/>
  <c r="L420" i="12"/>
  <c r="N419" i="12"/>
  <c r="J418" i="12"/>
  <c r="K413" i="12"/>
  <c r="K412" i="12"/>
  <c r="N410" i="12"/>
  <c r="M410" i="12"/>
  <c r="P410" i="12" s="1"/>
  <c r="L410" i="12"/>
  <c r="P409" i="12"/>
  <c r="O409" i="12"/>
  <c r="N407" i="12"/>
  <c r="N405" i="12" s="1"/>
  <c r="M407" i="12"/>
  <c r="P407" i="12" s="1"/>
  <c r="L407" i="12"/>
  <c r="L405" i="12" s="1"/>
  <c r="O405" i="12" s="1"/>
  <c r="P406" i="12"/>
  <c r="O406" i="12"/>
  <c r="N403" i="12"/>
  <c r="M403" i="12"/>
  <c r="P403" i="12" s="1"/>
  <c r="L403" i="12"/>
  <c r="O403" i="12" s="1"/>
  <c r="K401" i="12"/>
  <c r="J401" i="12"/>
  <c r="I401" i="12"/>
  <c r="K400" i="12"/>
  <c r="K399" i="12"/>
  <c r="N397" i="12"/>
  <c r="N395" i="12" s="1"/>
  <c r="M397" i="12"/>
  <c r="P397" i="12" s="1"/>
  <c r="L397" i="12"/>
  <c r="O397" i="12" s="1"/>
  <c r="P396" i="12"/>
  <c r="O396" i="12"/>
  <c r="N394" i="12"/>
  <c r="N392" i="12" s="1"/>
  <c r="M394" i="12"/>
  <c r="P394" i="12" s="1"/>
  <c r="L394" i="12"/>
  <c r="L392" i="12" s="1"/>
  <c r="O392" i="12" s="1"/>
  <c r="P393" i="12"/>
  <c r="O393" i="12"/>
  <c r="O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L351" i="12" s="1"/>
  <c r="P352" i="12"/>
  <c r="O352" i="12"/>
  <c r="N350" i="12"/>
  <c r="N348" i="12" s="1"/>
  <c r="M350" i="12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M336" i="12"/>
  <c r="P336" i="12" s="1"/>
  <c r="L336" i="12"/>
  <c r="O336" i="12" s="1"/>
  <c r="P335" i="12"/>
  <c r="O335" i="12"/>
  <c r="N333" i="12"/>
  <c r="N331" i="12" s="1"/>
  <c r="M333" i="12"/>
  <c r="M331" i="12" s="1"/>
  <c r="L333" i="12"/>
  <c r="L331" i="12" s="1"/>
  <c r="P332" i="12"/>
  <c r="O332" i="12"/>
  <c r="O329" i="12"/>
  <c r="N329" i="12"/>
  <c r="M329" i="12"/>
  <c r="P329" i="12" s="1"/>
  <c r="L329" i="12"/>
  <c r="I327" i="12"/>
  <c r="I325" i="12"/>
  <c r="K325" i="12" s="1"/>
  <c r="N323" i="12"/>
  <c r="N321" i="12" s="1"/>
  <c r="M323" i="12"/>
  <c r="L323" i="12"/>
  <c r="P322" i="12"/>
  <c r="O322" i="12"/>
  <c r="N320" i="12"/>
  <c r="N318" i="12" s="1"/>
  <c r="M320" i="12"/>
  <c r="P320" i="12" s="1"/>
  <c r="L320" i="12"/>
  <c r="O320" i="12" s="1"/>
  <c r="P319" i="12"/>
  <c r="O319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I297" i="12" s="1"/>
  <c r="N306" i="12"/>
  <c r="N304" i="12" s="1"/>
  <c r="M306" i="12"/>
  <c r="M304" i="12" s="1"/>
  <c r="P304" i="12" s="1"/>
  <c r="L306" i="12"/>
  <c r="P305" i="12"/>
  <c r="O305" i="12"/>
  <c r="N303" i="12"/>
  <c r="M303" i="12"/>
  <c r="L303" i="12"/>
  <c r="L301" i="12" s="1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N285" i="12"/>
  <c r="M285" i="12"/>
  <c r="L285" i="12"/>
  <c r="P284" i="12"/>
  <c r="O284" i="12"/>
  <c r="N282" i="12"/>
  <c r="N280" i="12" s="1"/>
  <c r="M282" i="12"/>
  <c r="L282" i="12"/>
  <c r="O282" i="12" s="1"/>
  <c r="P281" i="12"/>
  <c r="O281" i="12"/>
  <c r="P278" i="12"/>
  <c r="N278" i="12"/>
  <c r="M278" i="12"/>
  <c r="L278" i="12"/>
  <c r="J276" i="12"/>
  <c r="I271" i="12"/>
  <c r="I260" i="12" s="1"/>
  <c r="K260" i="12" s="1"/>
  <c r="N269" i="12"/>
  <c r="M269" i="12"/>
  <c r="P269" i="12" s="1"/>
  <c r="L269" i="12"/>
  <c r="P268" i="12"/>
  <c r="O268" i="12"/>
  <c r="N266" i="12"/>
  <c r="N264" i="12" s="1"/>
  <c r="M266" i="12"/>
  <c r="M264" i="12" s="1"/>
  <c r="L266" i="12"/>
  <c r="P265" i="12"/>
  <c r="O265" i="12"/>
  <c r="O262" i="12"/>
  <c r="N262" i="12"/>
  <c r="M262" i="12"/>
  <c r="P262" i="12" s="1"/>
  <c r="L262" i="12"/>
  <c r="J260" i="12"/>
  <c r="K258" i="12"/>
  <c r="K257" i="12"/>
  <c r="I255" i="12"/>
  <c r="K255" i="12" s="1"/>
  <c r="L253" i="12"/>
  <c r="L252" i="12"/>
  <c r="L251" i="12"/>
  <c r="L250" i="12"/>
  <c r="P249" i="12"/>
  <c r="N249" i="12"/>
  <c r="J248" i="12"/>
  <c r="K247" i="12"/>
  <c r="K246" i="12"/>
  <c r="I244" i="12"/>
  <c r="K244" i="12" s="1"/>
  <c r="L242" i="12"/>
  <c r="L241" i="12"/>
  <c r="L240" i="12"/>
  <c r="L239" i="12"/>
  <c r="P238" i="12"/>
  <c r="N238" i="12"/>
  <c r="N227" i="12" s="1"/>
  <c r="J237" i="12"/>
  <c r="J226" i="12" s="1"/>
  <c r="J180" i="12" s="1"/>
  <c r="K236" i="12"/>
  <c r="J236" i="12"/>
  <c r="I236" i="12"/>
  <c r="J235" i="12"/>
  <c r="I235" i="12"/>
  <c r="K235" i="12" s="1"/>
  <c r="J233" i="12"/>
  <c r="N231" i="12"/>
  <c r="N230" i="12"/>
  <c r="N229" i="12"/>
  <c r="N228" i="12"/>
  <c r="I225" i="12"/>
  <c r="K225" i="12" s="1"/>
  <c r="I224" i="12"/>
  <c r="I216" i="12" s="1"/>
  <c r="K216" i="12" s="1"/>
  <c r="I223" i="12"/>
  <c r="K223" i="12" s="1"/>
  <c r="L220" i="12"/>
  <c r="L219" i="12"/>
  <c r="L218" i="12"/>
  <c r="P217" i="12"/>
  <c r="N217" i="12"/>
  <c r="J216" i="12"/>
  <c r="I215" i="12"/>
  <c r="I208" i="12" s="1"/>
  <c r="K208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K197" i="12" s="1"/>
  <c r="L202" i="12"/>
  <c r="L201" i="12"/>
  <c r="L200" i="12"/>
  <c r="L199" i="12"/>
  <c r="P198" i="12"/>
  <c r="N198" i="12"/>
  <c r="J197" i="12"/>
  <c r="J194" i="12"/>
  <c r="I193" i="12"/>
  <c r="I190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M184" i="12" s="1"/>
  <c r="L186" i="12"/>
  <c r="P185" i="12"/>
  <c r="O185" i="12"/>
  <c r="O182" i="12"/>
  <c r="N182" i="12"/>
  <c r="M182" i="12"/>
  <c r="L182" i="12"/>
  <c r="J177" i="12"/>
  <c r="I176" i="12"/>
  <c r="J174" i="12"/>
  <c r="N173" i="12"/>
  <c r="N171" i="12" s="1"/>
  <c r="M173" i="12"/>
  <c r="P173" i="12" s="1"/>
  <c r="L173" i="12"/>
  <c r="P172" i="12"/>
  <c r="O172" i="12"/>
  <c r="N170" i="12"/>
  <c r="M170" i="12"/>
  <c r="M168" i="12" s="1"/>
  <c r="L170" i="12"/>
  <c r="P169" i="12"/>
  <c r="O169" i="12"/>
  <c r="O166" i="12"/>
  <c r="N166" i="12"/>
  <c r="M166" i="12"/>
  <c r="L166" i="12"/>
  <c r="J164" i="12"/>
  <c r="I159" i="12"/>
  <c r="I148" i="12" s="1"/>
  <c r="K148" i="12" s="1"/>
  <c r="N157" i="12"/>
  <c r="N155" i="12" s="1"/>
  <c r="M157" i="12"/>
  <c r="L157" i="12"/>
  <c r="L155" i="12" s="1"/>
  <c r="O155" i="12" s="1"/>
  <c r="P156" i="12"/>
  <c r="O156" i="12"/>
  <c r="N154" i="12"/>
  <c r="N152" i="12" s="1"/>
  <c r="M154" i="12"/>
  <c r="M152" i="12" s="1"/>
  <c r="L154" i="12"/>
  <c r="L152" i="12" s="1"/>
  <c r="O152" i="12" s="1"/>
  <c r="P153" i="12"/>
  <c r="O153" i="12"/>
  <c r="O150" i="12"/>
  <c r="N150" i="12"/>
  <c r="M150" i="12"/>
  <c r="P150" i="12" s="1"/>
  <c r="L150" i="12"/>
  <c r="J148" i="12"/>
  <c r="I146" i="12"/>
  <c r="I130" i="12" s="1"/>
  <c r="I145" i="12"/>
  <c r="I144" i="12"/>
  <c r="K144" i="12" s="1"/>
  <c r="N140" i="12"/>
  <c r="M140" i="12"/>
  <c r="M138" i="12" s="1"/>
  <c r="L140" i="12"/>
  <c r="L138" i="12" s="1"/>
  <c r="P139" i="12"/>
  <c r="O139" i="12"/>
  <c r="N137" i="12"/>
  <c r="N135" i="12" s="1"/>
  <c r="M137" i="12"/>
  <c r="L137" i="12"/>
  <c r="P136" i="12"/>
  <c r="O136" i="12"/>
  <c r="P133" i="12"/>
  <c r="N133" i="12"/>
  <c r="M133" i="12"/>
  <c r="L133" i="12"/>
  <c r="J130" i="12"/>
  <c r="N127" i="12"/>
  <c r="N125" i="12" s="1"/>
  <c r="M127" i="12"/>
  <c r="P127" i="12" s="1"/>
  <c r="L127" i="12"/>
  <c r="L125" i="12" s="1"/>
  <c r="O125" i="12" s="1"/>
  <c r="P126" i="12"/>
  <c r="O126" i="12"/>
  <c r="N124" i="12"/>
  <c r="N122" i="12" s="1"/>
  <c r="M124" i="12"/>
  <c r="L124" i="12"/>
  <c r="L122" i="12" s="1"/>
  <c r="O122" i="12" s="1"/>
  <c r="P123" i="12"/>
  <c r="O123" i="12"/>
  <c r="O120" i="12"/>
  <c r="N120" i="12"/>
  <c r="M120" i="12"/>
  <c r="P120" i="12" s="1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I87" i="12" s="1"/>
  <c r="J98" i="12"/>
  <c r="J86" i="12" s="1"/>
  <c r="I98" i="12"/>
  <c r="K98" i="12" s="1"/>
  <c r="N96" i="12"/>
  <c r="M96" i="12"/>
  <c r="P96" i="12" s="1"/>
  <c r="L96" i="12"/>
  <c r="P95" i="12"/>
  <c r="O95" i="12"/>
  <c r="N93" i="12"/>
  <c r="N91" i="12" s="1"/>
  <c r="M93" i="12"/>
  <c r="L93" i="12"/>
  <c r="P92" i="12"/>
  <c r="O92" i="12"/>
  <c r="N89" i="12"/>
  <c r="M89" i="12"/>
  <c r="L89" i="12"/>
  <c r="O89" i="12" s="1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J77" i="12"/>
  <c r="J76" i="12"/>
  <c r="J64" i="12" s="1"/>
  <c r="N74" i="12"/>
  <c r="N72" i="12" s="1"/>
  <c r="M74" i="12"/>
  <c r="P74" i="12" s="1"/>
  <c r="L74" i="12"/>
  <c r="O74" i="12" s="1"/>
  <c r="P73" i="12"/>
  <c r="O73" i="12"/>
  <c r="N71" i="12"/>
  <c r="N69" i="12" s="1"/>
  <c r="M71" i="12"/>
  <c r="P71" i="12" s="1"/>
  <c r="L71" i="12"/>
  <c r="O71" i="12" s="1"/>
  <c r="P70" i="12"/>
  <c r="O70" i="12"/>
  <c r="P67" i="12"/>
  <c r="N67" i="12"/>
  <c r="M67" i="12"/>
  <c r="L67" i="12"/>
  <c r="O67" i="12" s="1"/>
  <c r="J65" i="12"/>
  <c r="N61" i="12"/>
  <c r="N59" i="12" s="1"/>
  <c r="M61" i="12"/>
  <c r="P61" i="12" s="1"/>
  <c r="L61" i="12"/>
  <c r="O61" i="12" s="1"/>
  <c r="P60" i="12"/>
  <c r="O60" i="12"/>
  <c r="N58" i="12"/>
  <c r="N56" i="12" s="1"/>
  <c r="M58" i="12"/>
  <c r="L58" i="12"/>
  <c r="P57" i="12"/>
  <c r="O57" i="12"/>
  <c r="O54" i="12"/>
  <c r="N54" i="12"/>
  <c r="M54" i="12"/>
  <c r="P54" i="12" s="1"/>
  <c r="L54" i="12"/>
  <c r="N49" i="12"/>
  <c r="N47" i="12" s="1"/>
  <c r="M49" i="12"/>
  <c r="P49" i="12" s="1"/>
  <c r="L49" i="12"/>
  <c r="O49" i="12" s="1"/>
  <c r="P48" i="12"/>
  <c r="O48" i="12"/>
  <c r="N46" i="12"/>
  <c r="N44" i="12" s="1"/>
  <c r="M46" i="12"/>
  <c r="L46" i="12"/>
  <c r="L44" i="12" s="1"/>
  <c r="P45" i="12"/>
  <c r="O45" i="12"/>
  <c r="N42" i="12"/>
  <c r="M42" i="12"/>
  <c r="P42" i="12" s="1"/>
  <c r="L42" i="12"/>
  <c r="O42" i="12" s="1"/>
  <c r="N36" i="12"/>
  <c r="M36" i="12"/>
  <c r="P36" i="12" s="1"/>
  <c r="O35" i="12"/>
  <c r="N35" i="12"/>
  <c r="N34" i="12" s="1"/>
  <c r="M35" i="12"/>
  <c r="P35" i="12" s="1"/>
  <c r="L35" i="12"/>
  <c r="M34" i="12"/>
  <c r="P34" i="12" s="1"/>
  <c r="N33" i="12"/>
  <c r="N31" i="12" s="1"/>
  <c r="P32" i="12"/>
  <c r="N32" i="12"/>
  <c r="M32" i="12"/>
  <c r="L32" i="12"/>
  <c r="O32" i="12" s="1"/>
  <c r="N29" i="12"/>
  <c r="M29" i="12"/>
  <c r="P29" i="12" s="1"/>
  <c r="P25" i="12"/>
  <c r="N25" i="12"/>
  <c r="M25" i="12"/>
  <c r="L25" i="12"/>
  <c r="L19" i="12" s="1"/>
  <c r="O22" i="12"/>
  <c r="N22" i="12"/>
  <c r="M22" i="12"/>
  <c r="M12" i="12" s="1"/>
  <c r="L22" i="12"/>
  <c r="P15" i="12"/>
  <c r="N15" i="12"/>
  <c r="M15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P809" i="11"/>
  <c r="O809" i="11"/>
  <c r="O808" i="11"/>
  <c r="N808" i="11"/>
  <c r="M808" i="11"/>
  <c r="P808" i="11" s="1"/>
  <c r="L808" i="11"/>
  <c r="N807" i="11"/>
  <c r="M807" i="11"/>
  <c r="P807" i="11" s="1"/>
  <c r="L807" i="11"/>
  <c r="O807" i="11" s="1"/>
  <c r="N806" i="11"/>
  <c r="M806" i="11"/>
  <c r="P806" i="11" s="1"/>
  <c r="L806" i="11"/>
  <c r="N805" i="11"/>
  <c r="K804" i="11"/>
  <c r="J804" i="11"/>
  <c r="K802" i="11"/>
  <c r="J801" i="11"/>
  <c r="J800" i="11"/>
  <c r="J785" i="11" s="1"/>
  <c r="I800" i="11"/>
  <c r="P798" i="11"/>
  <c r="O798" i="11"/>
  <c r="P797" i="11"/>
  <c r="O797" i="11"/>
  <c r="P796" i="11"/>
  <c r="O796" i="11"/>
  <c r="N796" i="11"/>
  <c r="M796" i="11"/>
  <c r="L796" i="11"/>
  <c r="P791" i="11"/>
  <c r="N791" i="11"/>
  <c r="L791" i="11"/>
  <c r="L789" i="11" s="1"/>
  <c r="O789" i="11" s="1"/>
  <c r="P790" i="11"/>
  <c r="O790" i="11"/>
  <c r="M789" i="11"/>
  <c r="P789" i="11" s="1"/>
  <c r="M788" i="11"/>
  <c r="P788" i="11" s="1"/>
  <c r="N787" i="11"/>
  <c r="M787" i="11"/>
  <c r="P787" i="11" s="1"/>
  <c r="L787" i="11"/>
  <c r="P782" i="11"/>
  <c r="O782" i="11"/>
  <c r="P781" i="11"/>
  <c r="O781" i="11"/>
  <c r="P780" i="11"/>
  <c r="N780" i="11"/>
  <c r="M780" i="11"/>
  <c r="L780" i="11"/>
  <c r="O780" i="11" s="1"/>
  <c r="P775" i="11"/>
  <c r="O775" i="11"/>
  <c r="N775" i="11"/>
  <c r="P774" i="11"/>
  <c r="O774" i="11"/>
  <c r="P773" i="11"/>
  <c r="O773" i="11"/>
  <c r="N773" i="11"/>
  <c r="M773" i="11"/>
  <c r="L773" i="11"/>
  <c r="O772" i="11"/>
  <c r="N772" i="11"/>
  <c r="M772" i="11"/>
  <c r="P772" i="11" s="1"/>
  <c r="L772" i="11"/>
  <c r="N771" i="11"/>
  <c r="M771" i="11"/>
  <c r="L771" i="11"/>
  <c r="O771" i="11" s="1"/>
  <c r="L770" i="11"/>
  <c r="O770" i="11" s="1"/>
  <c r="K769" i="11"/>
  <c r="J769" i="11"/>
  <c r="P766" i="11"/>
  <c r="O766" i="11"/>
  <c r="P765" i="11"/>
  <c r="O765" i="11"/>
  <c r="P764" i="11"/>
  <c r="N764" i="11"/>
  <c r="M764" i="11"/>
  <c r="L764" i="11"/>
  <c r="O764" i="11" s="1"/>
  <c r="P759" i="11"/>
  <c r="O759" i="11"/>
  <c r="N759" i="11"/>
  <c r="P758" i="11"/>
  <c r="O758" i="11"/>
  <c r="P757" i="11"/>
  <c r="O757" i="11"/>
  <c r="N757" i="11"/>
  <c r="M757" i="11"/>
  <c r="L757" i="11"/>
  <c r="O756" i="11"/>
  <c r="N756" i="11"/>
  <c r="M756" i="11"/>
  <c r="P756" i="11" s="1"/>
  <c r="L756" i="11"/>
  <c r="N755" i="11"/>
  <c r="N754" i="11" s="1"/>
  <c r="M755" i="11"/>
  <c r="L755" i="11"/>
  <c r="O755" i="11" s="1"/>
  <c r="L754" i="11"/>
  <c r="O754" i="11" s="1"/>
  <c r="K753" i="11"/>
  <c r="J753" i="11"/>
  <c r="P749" i="11"/>
  <c r="O749" i="11"/>
  <c r="P748" i="11"/>
  <c r="O748" i="11"/>
  <c r="P747" i="11"/>
  <c r="N747" i="11"/>
  <c r="M747" i="11"/>
  <c r="L747" i="11"/>
  <c r="O747" i="11" s="1"/>
  <c r="P742" i="11"/>
  <c r="O742" i="11"/>
  <c r="N742" i="11"/>
  <c r="N740" i="11" s="1"/>
  <c r="P741" i="11"/>
  <c r="O741" i="11"/>
  <c r="P740" i="11"/>
  <c r="O740" i="11"/>
  <c r="M740" i="11"/>
  <c r="L740" i="11"/>
  <c r="O739" i="11"/>
  <c r="N739" i="11"/>
  <c r="M739" i="11"/>
  <c r="P739" i="11" s="1"/>
  <c r="L739" i="11"/>
  <c r="N738" i="11"/>
  <c r="M738" i="11"/>
  <c r="L738" i="11"/>
  <c r="O738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O695" i="11"/>
  <c r="N695" i="11"/>
  <c r="M695" i="11"/>
  <c r="L695" i="11"/>
  <c r="P690" i="11"/>
  <c r="N690" i="11"/>
  <c r="N687" i="11" s="1"/>
  <c r="N685" i="11" s="1"/>
  <c r="L690" i="11"/>
  <c r="O690" i="11" s="1"/>
  <c r="N688" i="11"/>
  <c r="M688" i="11"/>
  <c r="P688" i="11" s="1"/>
  <c r="M687" i="11"/>
  <c r="P687" i="11" s="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O660" i="11" s="1"/>
  <c r="P659" i="11"/>
  <c r="O659" i="11"/>
  <c r="N658" i="11"/>
  <c r="M658" i="11"/>
  <c r="P658" i="11" s="1"/>
  <c r="P657" i="11"/>
  <c r="N657" i="11"/>
  <c r="N655" i="11" s="1"/>
  <c r="M657" i="11"/>
  <c r="O656" i="11"/>
  <c r="N656" i="11"/>
  <c r="M656" i="11"/>
  <c r="L656" i="1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N638" i="11"/>
  <c r="N634" i="11" s="1"/>
  <c r="N631" i="11" s="1"/>
  <c r="N637" i="11"/>
  <c r="L634" i="11"/>
  <c r="L632" i="11" s="1"/>
  <c r="P633" i="11"/>
  <c r="O633" i="11"/>
  <c r="N630" i="11"/>
  <c r="N629" i="11" s="1"/>
  <c r="M630" i="11"/>
  <c r="P630" i="11" s="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I594" i="11"/>
  <c r="I593" i="11"/>
  <c r="J583" i="11"/>
  <c r="J577" i="11" s="1"/>
  <c r="J582" i="11"/>
  <c r="I577" i="11"/>
  <c r="J576" i="11"/>
  <c r="I576" i="11"/>
  <c r="I559" i="11" s="1"/>
  <c r="I543" i="11" s="1"/>
  <c r="J569" i="11"/>
  <c r="I569" i="11"/>
  <c r="K569" i="11" s="1"/>
  <c r="J568" i="11"/>
  <c r="I568" i="11"/>
  <c r="J561" i="11"/>
  <c r="I561" i="11"/>
  <c r="K561" i="11" s="1"/>
  <c r="J560" i="11"/>
  <c r="I560" i="11"/>
  <c r="K560" i="11" s="1"/>
  <c r="P557" i="11"/>
  <c r="L557" i="11"/>
  <c r="O557" i="11" s="1"/>
  <c r="P556" i="11"/>
  <c r="O556" i="11"/>
  <c r="P555" i="11"/>
  <c r="N555" i="11"/>
  <c r="N545" i="11" s="1"/>
  <c r="N544" i="11" s="1"/>
  <c r="M555" i="11"/>
  <c r="N553" i="11"/>
  <c r="N551" i="11"/>
  <c r="N549" i="11" s="1"/>
  <c r="N546" i="11" s="1"/>
  <c r="L549" i="11"/>
  <c r="L547" i="11" s="1"/>
  <c r="P548" i="11"/>
  <c r="O548" i="11"/>
  <c r="P545" i="11"/>
  <c r="M545" i="11"/>
  <c r="L545" i="11"/>
  <c r="I542" i="11"/>
  <c r="K542" i="11" s="1"/>
  <c r="I541" i="11"/>
  <c r="K541" i="11" s="1"/>
  <c r="I540" i="11"/>
  <c r="K540" i="11" s="1"/>
  <c r="I539" i="11"/>
  <c r="K539" i="11" s="1"/>
  <c r="I538" i="11"/>
  <c r="I537" i="11"/>
  <c r="K537" i="11" s="1"/>
  <c r="P535" i="11"/>
  <c r="L535" i="11"/>
  <c r="P534" i="11"/>
  <c r="O534" i="11"/>
  <c r="P533" i="11"/>
  <c r="N533" i="11"/>
  <c r="M533" i="11"/>
  <c r="P528" i="11"/>
  <c r="N528" i="11"/>
  <c r="N525" i="11" s="1"/>
  <c r="N523" i="11" s="1"/>
  <c r="L528" i="11"/>
  <c r="O528" i="11" s="1"/>
  <c r="P527" i="11"/>
  <c r="O527" i="11"/>
  <c r="P526" i="11"/>
  <c r="N526" i="11"/>
  <c r="M526" i="11"/>
  <c r="M525" i="11"/>
  <c r="P525" i="11" s="1"/>
  <c r="P524" i="11"/>
  <c r="N524" i="11"/>
  <c r="M524" i="11"/>
  <c r="M523" i="11" s="1"/>
  <c r="P523" i="11" s="1"/>
  <c r="L524" i="11"/>
  <c r="O524" i="11" s="1"/>
  <c r="K517" i="11"/>
  <c r="J517" i="1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P506" i="11"/>
  <c r="O506" i="11"/>
  <c r="P505" i="11"/>
  <c r="M505" i="11"/>
  <c r="L505" i="11"/>
  <c r="O505" i="11" s="1"/>
  <c r="M504" i="11"/>
  <c r="P504" i="11" s="1"/>
  <c r="L504" i="11"/>
  <c r="L502" i="11" s="1"/>
  <c r="P503" i="11"/>
  <c r="N503" i="11"/>
  <c r="M503" i="11"/>
  <c r="L503" i="11"/>
  <c r="O503" i="11" s="1"/>
  <c r="O502" i="11"/>
  <c r="M502" i="11"/>
  <c r="P502" i="11" s="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6" i="11"/>
  <c r="N472" i="11" s="1"/>
  <c r="N473" i="11"/>
  <c r="L472" i="11"/>
  <c r="P471" i="11"/>
  <c r="O471" i="11"/>
  <c r="O468" i="11"/>
  <c r="N468" i="11"/>
  <c r="M468" i="11"/>
  <c r="P468" i="11" s="1"/>
  <c r="L468" i="11"/>
  <c r="J466" i="11"/>
  <c r="I466" i="11"/>
  <c r="J465" i="11"/>
  <c r="I465" i="11"/>
  <c r="K465" i="11" s="1"/>
  <c r="I464" i="11"/>
  <c r="I463" i="11"/>
  <c r="I462" i="11"/>
  <c r="K462" i="11" s="1"/>
  <c r="I460" i="11"/>
  <c r="I442" i="11" s="1"/>
  <c r="K442" i="11" s="1"/>
  <c r="K458" i="11"/>
  <c r="P456" i="11"/>
  <c r="L456" i="11"/>
  <c r="O456" i="11" s="1"/>
  <c r="P455" i="11"/>
  <c r="O455" i="11"/>
  <c r="N454" i="11"/>
  <c r="M454" i="11"/>
  <c r="P454" i="11" s="1"/>
  <c r="P449" i="11"/>
  <c r="N449" i="11"/>
  <c r="N446" i="11" s="1"/>
  <c r="L449" i="11"/>
  <c r="O449" i="11" s="1"/>
  <c r="P448" i="11"/>
  <c r="O448" i="11"/>
  <c r="P447" i="11"/>
  <c r="M447" i="11"/>
  <c r="P446" i="11"/>
  <c r="M446" i="11"/>
  <c r="M444" i="11" s="1"/>
  <c r="P444" i="11" s="1"/>
  <c r="P445" i="11"/>
  <c r="N445" i="11"/>
  <c r="N444" i="11" s="1"/>
  <c r="M445" i="11"/>
  <c r="L445" i="11"/>
  <c r="J443" i="11"/>
  <c r="J442" i="11"/>
  <c r="I441" i="11"/>
  <c r="K441" i="11" s="1"/>
  <c r="I440" i="11"/>
  <c r="K440" i="11" s="1"/>
  <c r="I439" i="11"/>
  <c r="K439" i="11" s="1"/>
  <c r="I438" i="11"/>
  <c r="K438" i="11" s="1"/>
  <c r="I437" i="11"/>
  <c r="K437" i="11" s="1"/>
  <c r="I435" i="11"/>
  <c r="K435" i="11" s="1"/>
  <c r="J434" i="11"/>
  <c r="P431" i="11"/>
  <c r="L431" i="11"/>
  <c r="O431" i="11" s="1"/>
  <c r="P430" i="11"/>
  <c r="O430" i="11"/>
  <c r="N429" i="11"/>
  <c r="M429" i="11"/>
  <c r="P429" i="11" s="1"/>
  <c r="N428" i="11"/>
  <c r="N424" i="11" s="1"/>
  <c r="L424" i="11"/>
  <c r="P423" i="11"/>
  <c r="O423" i="11"/>
  <c r="P420" i="11"/>
  <c r="N420" i="11"/>
  <c r="M420" i="11"/>
  <c r="L420" i="11"/>
  <c r="O420" i="11" s="1"/>
  <c r="J418" i="11"/>
  <c r="K413" i="11"/>
  <c r="K412" i="11"/>
  <c r="N410" i="11"/>
  <c r="N408" i="11" s="1"/>
  <c r="M410" i="11"/>
  <c r="L410" i="11"/>
  <c r="P409" i="11"/>
  <c r="O409" i="11"/>
  <c r="N407" i="11"/>
  <c r="M407" i="11"/>
  <c r="L407" i="11"/>
  <c r="L405" i="11" s="1"/>
  <c r="O405" i="11" s="1"/>
  <c r="P406" i="11"/>
  <c r="O406" i="11"/>
  <c r="N403" i="11"/>
  <c r="M403" i="11"/>
  <c r="P403" i="11" s="1"/>
  <c r="L403" i="11"/>
  <c r="K401" i="11"/>
  <c r="J401" i="11"/>
  <c r="I401" i="11"/>
  <c r="K400" i="11"/>
  <c r="K399" i="11"/>
  <c r="N397" i="11"/>
  <c r="M397" i="11"/>
  <c r="L397" i="11"/>
  <c r="O397" i="11" s="1"/>
  <c r="P396" i="11"/>
  <c r="O396" i="11"/>
  <c r="N394" i="11"/>
  <c r="N392" i="11" s="1"/>
  <c r="M394" i="11"/>
  <c r="P394" i="11" s="1"/>
  <c r="L394" i="11"/>
  <c r="O394" i="11" s="1"/>
  <c r="P393" i="11"/>
  <c r="O393" i="11"/>
  <c r="P390" i="11"/>
  <c r="N390" i="11"/>
  <c r="M390" i="1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M350" i="11"/>
  <c r="M348" i="11" s="1"/>
  <c r="L350" i="11"/>
  <c r="L348" i="11" s="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O336" i="11" s="1"/>
  <c r="P335" i="11"/>
  <c r="O335" i="11"/>
  <c r="N333" i="11"/>
  <c r="M333" i="11"/>
  <c r="M331" i="11" s="1"/>
  <c r="L333" i="11"/>
  <c r="P332" i="11"/>
  <c r="O332" i="11"/>
  <c r="P329" i="11"/>
  <c r="O329" i="11"/>
  <c r="N329" i="11"/>
  <c r="M329" i="11"/>
  <c r="L329" i="11"/>
  <c r="I327" i="11"/>
  <c r="I325" i="11"/>
  <c r="N323" i="11"/>
  <c r="N321" i="11" s="1"/>
  <c r="M323" i="11"/>
  <c r="M321" i="11" s="1"/>
  <c r="P321" i="11" s="1"/>
  <c r="L323" i="11"/>
  <c r="P322" i="11"/>
  <c r="O322" i="11"/>
  <c r="N320" i="11"/>
  <c r="N318" i="11" s="1"/>
  <c r="M320" i="11"/>
  <c r="L320" i="11"/>
  <c r="O320" i="11" s="1"/>
  <c r="P319" i="11"/>
  <c r="O319" i="11"/>
  <c r="O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P306" i="11" s="1"/>
  <c r="L306" i="11"/>
  <c r="P305" i="11"/>
  <c r="O305" i="11"/>
  <c r="N303" i="11"/>
  <c r="M303" i="11"/>
  <c r="M301" i="11" s="1"/>
  <c r="P301" i="11" s="1"/>
  <c r="L303" i="11"/>
  <c r="L301" i="11" s="1"/>
  <c r="O301" i="11" s="1"/>
  <c r="P302" i="11"/>
  <c r="O302" i="11"/>
  <c r="O299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K288" i="11" s="1"/>
  <c r="I287" i="11"/>
  <c r="K287" i="11" s="1"/>
  <c r="N285" i="11"/>
  <c r="N283" i="11" s="1"/>
  <c r="M285" i="11"/>
  <c r="L285" i="11"/>
  <c r="P284" i="11"/>
  <c r="O284" i="11"/>
  <c r="N282" i="11"/>
  <c r="M282" i="11"/>
  <c r="P282" i="11" s="1"/>
  <c r="L282" i="11"/>
  <c r="L280" i="11" s="1"/>
  <c r="O280" i="11" s="1"/>
  <c r="P281" i="11"/>
  <c r="O281" i="11"/>
  <c r="N278" i="11"/>
  <c r="M278" i="11"/>
  <c r="P278" i="11" s="1"/>
  <c r="L278" i="11"/>
  <c r="O278" i="11" s="1"/>
  <c r="J276" i="11"/>
  <c r="I271" i="11"/>
  <c r="N269" i="11"/>
  <c r="N267" i="11" s="1"/>
  <c r="M269" i="11"/>
  <c r="L269" i="11"/>
  <c r="O269" i="11" s="1"/>
  <c r="P268" i="11"/>
  <c r="O268" i="11"/>
  <c r="N266" i="11"/>
  <c r="M266" i="11"/>
  <c r="L266" i="11"/>
  <c r="L264" i="11" s="1"/>
  <c r="P265" i="11"/>
  <c r="O265" i="11"/>
  <c r="N262" i="11"/>
  <c r="M262" i="11"/>
  <c r="L262" i="11"/>
  <c r="O262" i="11" s="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J237" i="11"/>
  <c r="J236" i="11"/>
  <c r="I236" i="11"/>
  <c r="K236" i="11" s="1"/>
  <c r="J235" i="11"/>
  <c r="I235" i="11"/>
  <c r="K235" i="11" s="1"/>
  <c r="J233" i="11"/>
  <c r="N231" i="11"/>
  <c r="N230" i="11"/>
  <c r="N229" i="11"/>
  <c r="N228" i="11"/>
  <c r="N227" i="11"/>
  <c r="J226" i="11"/>
  <c r="J180" i="11" s="1"/>
  <c r="I225" i="11"/>
  <c r="K225" i="11" s="1"/>
  <c r="I224" i="11"/>
  <c r="I216" i="11" s="1"/>
  <c r="K216" i="11" s="1"/>
  <c r="I223" i="11"/>
  <c r="K223" i="11" s="1"/>
  <c r="L220" i="11"/>
  <c r="L219" i="11"/>
  <c r="L218" i="11"/>
  <c r="P217" i="11"/>
  <c r="N217" i="11"/>
  <c r="J216" i="11"/>
  <c r="I215" i="11"/>
  <c r="I208" i="11" s="1"/>
  <c r="K208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M189" i="11"/>
  <c r="L189" i="11"/>
  <c r="O189" i="11" s="1"/>
  <c r="P188" i="11"/>
  <c r="O188" i="11"/>
  <c r="N186" i="11"/>
  <c r="N184" i="11" s="1"/>
  <c r="M186" i="11"/>
  <c r="M184" i="11" s="1"/>
  <c r="L186" i="11"/>
  <c r="P185" i="11"/>
  <c r="O185" i="11"/>
  <c r="P182" i="11"/>
  <c r="O182" i="11"/>
  <c r="N182" i="11"/>
  <c r="M182" i="11"/>
  <c r="L182" i="11"/>
  <c r="J177" i="11"/>
  <c r="I176" i="11"/>
  <c r="K176" i="11" s="1"/>
  <c r="J174" i="11"/>
  <c r="N173" i="11"/>
  <c r="M173" i="11"/>
  <c r="P173" i="11" s="1"/>
  <c r="L173" i="11"/>
  <c r="O173" i="11" s="1"/>
  <c r="P172" i="11"/>
  <c r="O172" i="11"/>
  <c r="N170" i="11"/>
  <c r="N168" i="11" s="1"/>
  <c r="M170" i="11"/>
  <c r="L170" i="11"/>
  <c r="P169" i="11"/>
  <c r="O169" i="11"/>
  <c r="P166" i="11"/>
  <c r="O166" i="11"/>
  <c r="N166" i="11"/>
  <c r="M166" i="11"/>
  <c r="L166" i="11"/>
  <c r="J164" i="11"/>
  <c r="I159" i="11"/>
  <c r="K159" i="11" s="1"/>
  <c r="N157" i="11"/>
  <c r="N155" i="11" s="1"/>
  <c r="M157" i="11"/>
  <c r="P157" i="11" s="1"/>
  <c r="L157" i="11"/>
  <c r="O157" i="11" s="1"/>
  <c r="P156" i="11"/>
  <c r="O156" i="11"/>
  <c r="N154" i="11"/>
  <c r="N152" i="11" s="1"/>
  <c r="M154" i="11"/>
  <c r="M152" i="11" s="1"/>
  <c r="L154" i="11"/>
  <c r="P153" i="11"/>
  <c r="O153" i="11"/>
  <c r="O150" i="11"/>
  <c r="N150" i="11"/>
  <c r="M150" i="11"/>
  <c r="P150" i="11" s="1"/>
  <c r="L150" i="11"/>
  <c r="J148" i="11"/>
  <c r="I146" i="11"/>
  <c r="K146" i="11" s="1"/>
  <c r="I145" i="11"/>
  <c r="I143" i="11" s="1"/>
  <c r="I144" i="11"/>
  <c r="N140" i="11"/>
  <c r="M140" i="11"/>
  <c r="M138" i="11" s="1"/>
  <c r="P138" i="11" s="1"/>
  <c r="L140" i="11"/>
  <c r="P139" i="11"/>
  <c r="O139" i="11"/>
  <c r="N137" i="11"/>
  <c r="N135" i="11" s="1"/>
  <c r="M137" i="11"/>
  <c r="M135" i="11" s="1"/>
  <c r="P135" i="11" s="1"/>
  <c r="L137" i="11"/>
  <c r="L135" i="11" s="1"/>
  <c r="O135" i="11" s="1"/>
  <c r="P136" i="11"/>
  <c r="O136" i="11"/>
  <c r="P133" i="11"/>
  <c r="N133" i="11"/>
  <c r="M133" i="11"/>
  <c r="L133" i="11"/>
  <c r="O133" i="11" s="1"/>
  <c r="J130" i="11"/>
  <c r="N127" i="11"/>
  <c r="N125" i="11" s="1"/>
  <c r="M127" i="11"/>
  <c r="M125" i="11" s="1"/>
  <c r="P125" i="11" s="1"/>
  <c r="L127" i="11"/>
  <c r="O127" i="11" s="1"/>
  <c r="P126" i="11"/>
  <c r="O126" i="11"/>
  <c r="N124" i="11"/>
  <c r="N122" i="11" s="1"/>
  <c r="M124" i="11"/>
  <c r="M122" i="11" s="1"/>
  <c r="P122" i="11" s="1"/>
  <c r="L124" i="11"/>
  <c r="O124" i="11" s="1"/>
  <c r="P123" i="11"/>
  <c r="O123" i="11"/>
  <c r="P120" i="11"/>
  <c r="N120" i="11"/>
  <c r="M120" i="11"/>
  <c r="L120" i="11"/>
  <c r="O120" i="11" s="1"/>
  <c r="I116" i="11"/>
  <c r="K116" i="11" s="1"/>
  <c r="I115" i="1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J99" i="11"/>
  <c r="I99" i="11"/>
  <c r="K99" i="11" s="1"/>
  <c r="J98" i="11"/>
  <c r="I98" i="11"/>
  <c r="K98" i="11" s="1"/>
  <c r="N96" i="11"/>
  <c r="M96" i="11"/>
  <c r="P96" i="11" s="1"/>
  <c r="L96" i="11"/>
  <c r="O96" i="11" s="1"/>
  <c r="P95" i="11"/>
  <c r="O95" i="11"/>
  <c r="N93" i="11"/>
  <c r="M93" i="11"/>
  <c r="M91" i="11" s="1"/>
  <c r="L93" i="11"/>
  <c r="L91" i="11" s="1"/>
  <c r="P92" i="11"/>
  <c r="O92" i="11"/>
  <c r="O89" i="11"/>
  <c r="N89" i="11"/>
  <c r="M89" i="11"/>
  <c r="P89" i="11" s="1"/>
  <c r="L89" i="11"/>
  <c r="J87" i="1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J77" i="11"/>
  <c r="J65" i="11" s="1"/>
  <c r="J76" i="11"/>
  <c r="N74" i="11"/>
  <c r="M74" i="11"/>
  <c r="P74" i="11" s="1"/>
  <c r="L74" i="11"/>
  <c r="O74" i="11" s="1"/>
  <c r="P73" i="11"/>
  <c r="O73" i="11"/>
  <c r="N71" i="11"/>
  <c r="N69" i="11" s="1"/>
  <c r="M71" i="11"/>
  <c r="P71" i="11" s="1"/>
  <c r="L71" i="11"/>
  <c r="O71" i="11" s="1"/>
  <c r="P70" i="11"/>
  <c r="O70" i="11"/>
  <c r="P67" i="11"/>
  <c r="N67" i="11"/>
  <c r="M67" i="11"/>
  <c r="L67" i="11"/>
  <c r="O67" i="11" s="1"/>
  <c r="J64" i="11"/>
  <c r="N61" i="11"/>
  <c r="M61" i="11"/>
  <c r="L61" i="11"/>
  <c r="O61" i="11" s="1"/>
  <c r="P60" i="11"/>
  <c r="O60" i="11"/>
  <c r="N58" i="11"/>
  <c r="M58" i="11"/>
  <c r="M56" i="11" s="1"/>
  <c r="L58" i="11"/>
  <c r="L56" i="11" s="1"/>
  <c r="P57" i="11"/>
  <c r="O57" i="11"/>
  <c r="O54" i="11"/>
  <c r="N54" i="11"/>
  <c r="M54" i="11"/>
  <c r="L54" i="11"/>
  <c r="N49" i="11"/>
  <c r="N47" i="11" s="1"/>
  <c r="M49" i="11"/>
  <c r="P49" i="11" s="1"/>
  <c r="L49" i="11"/>
  <c r="O49" i="11" s="1"/>
  <c r="P48" i="11"/>
  <c r="O48" i="11"/>
  <c r="N46" i="11"/>
  <c r="M46" i="11"/>
  <c r="L46" i="11"/>
  <c r="P45" i="11"/>
  <c r="O45" i="11"/>
  <c r="P42" i="11"/>
  <c r="N42" i="11"/>
  <c r="M42" i="11"/>
  <c r="L42" i="11"/>
  <c r="O42" i="11" s="1"/>
  <c r="N36" i="11"/>
  <c r="M36" i="11"/>
  <c r="P35" i="11"/>
  <c r="N35" i="11"/>
  <c r="N34" i="11" s="1"/>
  <c r="M35" i="11"/>
  <c r="L35" i="11"/>
  <c r="O32" i="11"/>
  <c r="N32" i="11"/>
  <c r="M32" i="11"/>
  <c r="P32" i="11" s="1"/>
  <c r="L32" i="11"/>
  <c r="N29" i="11"/>
  <c r="O25" i="11"/>
  <c r="N25" i="11"/>
  <c r="M25" i="11"/>
  <c r="P25" i="11" s="1"/>
  <c r="L25" i="11"/>
  <c r="P22" i="11"/>
  <c r="N22" i="11"/>
  <c r="N19" i="11" s="1"/>
  <c r="M22" i="11"/>
  <c r="L22" i="11"/>
  <c r="M19" i="11"/>
  <c r="P19" i="11" s="1"/>
  <c r="N15" i="11"/>
  <c r="M12" i="11"/>
  <c r="P12" i="11" s="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P790" i="10"/>
  <c r="O790" i="10"/>
  <c r="P789" i="10"/>
  <c r="N789" i="10"/>
  <c r="M789" i="10"/>
  <c r="L789" i="10"/>
  <c r="O789" i="10" s="1"/>
  <c r="M788" i="10"/>
  <c r="P787" i="10"/>
  <c r="N787" i="10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N772" i="10"/>
  <c r="N770" i="10" s="1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N757" i="10" s="1"/>
  <c r="P758" i="10"/>
  <c r="O758" i="10"/>
  <c r="O757" i="10"/>
  <c r="M757" i="10"/>
  <c r="P757" i="10" s="1"/>
  <c r="L757" i="10"/>
  <c r="P756" i="10"/>
  <c r="N756" i="10"/>
  <c r="N754" i="10" s="1"/>
  <c r="M756" i="10"/>
  <c r="L756" i="10"/>
  <c r="O756" i="10" s="1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9" i="10" s="1"/>
  <c r="O738" i="10"/>
  <c r="N738" i="10"/>
  <c r="M738" i="10"/>
  <c r="L738" i="10"/>
  <c r="L737" i="10"/>
  <c r="O737" i="10" s="1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N690" i="10"/>
  <c r="N688" i="10" s="1"/>
  <c r="L690" i="10"/>
  <c r="O690" i="10" s="1"/>
  <c r="N687" i="10"/>
  <c r="N685" i="10" s="1"/>
  <c r="O686" i="10"/>
  <c r="N686" i="10"/>
  <c r="M686" i="10"/>
  <c r="L686" i="10"/>
  <c r="J679" i="10"/>
  <c r="J678" i="10"/>
  <c r="I678" i="10"/>
  <c r="K678" i="10" s="1"/>
  <c r="J675" i="10"/>
  <c r="J669" i="10" s="1"/>
  <c r="J654" i="10" s="1"/>
  <c r="I671" i="10"/>
  <c r="K671" i="10" s="1"/>
  <c r="I670" i="10"/>
  <c r="K670" i="10" s="1"/>
  <c r="I669" i="10"/>
  <c r="K674" i="10" s="1"/>
  <c r="P667" i="10"/>
  <c r="O667" i="10"/>
  <c r="P666" i="10"/>
  <c r="O666" i="10"/>
  <c r="O665" i="10"/>
  <c r="N665" i="10"/>
  <c r="M665" i="10"/>
  <c r="P665" i="10" s="1"/>
  <c r="L665" i="10"/>
  <c r="P660" i="10"/>
  <c r="N660" i="10"/>
  <c r="L660" i="10"/>
  <c r="P659" i="10"/>
  <c r="O659" i="10"/>
  <c r="P658" i="10"/>
  <c r="N658" i="10"/>
  <c r="M658" i="10"/>
  <c r="L658" i="10"/>
  <c r="O658" i="10" s="1"/>
  <c r="N657" i="10"/>
  <c r="M657" i="10"/>
  <c r="P657" i="10" s="1"/>
  <c r="P656" i="10"/>
  <c r="N656" i="10"/>
  <c r="N655" i="10" s="1"/>
  <c r="M656" i="10"/>
  <c r="L656" i="10"/>
  <c r="O656" i="10" s="1"/>
  <c r="M655" i="10"/>
  <c r="P655" i="10" s="1"/>
  <c r="K652" i="10"/>
  <c r="J652" i="10"/>
  <c r="J651" i="10"/>
  <c r="J628" i="10" s="1"/>
  <c r="I651" i="10"/>
  <c r="I628" i="10" s="1"/>
  <c r="K628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N639" i="10"/>
  <c r="M639" i="10"/>
  <c r="P639" i="10" s="1"/>
  <c r="P634" i="10"/>
  <c r="N634" i="10"/>
  <c r="N631" i="10" s="1"/>
  <c r="N629" i="10" s="1"/>
  <c r="L634" i="10"/>
  <c r="O634" i="10" s="1"/>
  <c r="P633" i="10"/>
  <c r="O633" i="10"/>
  <c r="P632" i="10"/>
  <c r="N632" i="10"/>
  <c r="M632" i="10"/>
  <c r="M631" i="10"/>
  <c r="P630" i="10"/>
  <c r="N630" i="10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J583" i="10"/>
  <c r="J577" i="10" s="1"/>
  <c r="J582" i="10"/>
  <c r="I577" i="10"/>
  <c r="K577" i="10" s="1"/>
  <c r="J576" i="10"/>
  <c r="J559" i="10" s="1"/>
  <c r="J543" i="10" s="1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O557" i="10" s="1"/>
  <c r="P556" i="10"/>
  <c r="O556" i="10"/>
  <c r="P555" i="10"/>
  <c r="N555" i="10"/>
  <c r="M555" i="10"/>
  <c r="N549" i="10"/>
  <c r="L549" i="10"/>
  <c r="O549" i="10" s="1"/>
  <c r="P548" i="10"/>
  <c r="O548" i="10"/>
  <c r="N547" i="10"/>
  <c r="N546" i="10"/>
  <c r="P545" i="10"/>
  <c r="N545" i="10"/>
  <c r="N544" i="10" s="1"/>
  <c r="M545" i="10"/>
  <c r="L545" i="10"/>
  <c r="O545" i="10" s="1"/>
  <c r="I542" i="10"/>
  <c r="K542" i="10" s="1"/>
  <c r="I541" i="10"/>
  <c r="K541" i="10" s="1"/>
  <c r="I540" i="10"/>
  <c r="I539" i="10"/>
  <c r="K539" i="10" s="1"/>
  <c r="I538" i="10"/>
  <c r="K538" i="10" s="1"/>
  <c r="I537" i="10"/>
  <c r="K537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L528" i="10"/>
  <c r="O528" i="10" s="1"/>
  <c r="P527" i="10"/>
  <c r="O527" i="10"/>
  <c r="P526" i="10"/>
  <c r="N526" i="10"/>
  <c r="M526" i="10"/>
  <c r="M525" i="10"/>
  <c r="P525" i="10" s="1"/>
  <c r="P524" i="10"/>
  <c r="N524" i="10"/>
  <c r="N523" i="10" s="1"/>
  <c r="M524" i="10"/>
  <c r="L524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N504" i="10" s="1"/>
  <c r="N502" i="10" s="1"/>
  <c r="P506" i="10"/>
  <c r="O506" i="10"/>
  <c r="P505" i="10"/>
  <c r="N505" i="10"/>
  <c r="M505" i="10"/>
  <c r="L505" i="10"/>
  <c r="O505" i="10" s="1"/>
  <c r="O504" i="10"/>
  <c r="M504" i="10"/>
  <c r="L504" i="10"/>
  <c r="P503" i="10"/>
  <c r="N503" i="10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P472" i="10"/>
  <c r="N472" i="10"/>
  <c r="N469" i="10" s="1"/>
  <c r="N467" i="10" s="1"/>
  <c r="L472" i="10"/>
  <c r="P471" i="10"/>
  <c r="O471" i="10"/>
  <c r="P470" i="10"/>
  <c r="M470" i="10"/>
  <c r="M469" i="10"/>
  <c r="P468" i="10"/>
  <c r="N468" i="10"/>
  <c r="M468" i="10"/>
  <c r="L468" i="10"/>
  <c r="J466" i="10"/>
  <c r="I466" i="10"/>
  <c r="K466" i="10" s="1"/>
  <c r="J465" i="10"/>
  <c r="I465" i="10"/>
  <c r="K465" i="10" s="1"/>
  <c r="I464" i="10"/>
  <c r="I463" i="10"/>
  <c r="I462" i="10"/>
  <c r="I460" i="10"/>
  <c r="K460" i="10" s="1"/>
  <c r="K458" i="10"/>
  <c r="P456" i="10"/>
  <c r="L456" i="10"/>
  <c r="O456" i="10" s="1"/>
  <c r="P455" i="10"/>
  <c r="O455" i="10"/>
  <c r="N454" i="10"/>
  <c r="M454" i="10"/>
  <c r="P454" i="10" s="1"/>
  <c r="N449" i="10"/>
  <c r="L449" i="10"/>
  <c r="P448" i="10"/>
  <c r="O448" i="10"/>
  <c r="N447" i="10"/>
  <c r="N446" i="10"/>
  <c r="P445" i="10"/>
  <c r="N445" i="10"/>
  <c r="N444" i="10" s="1"/>
  <c r="M445" i="10"/>
  <c r="L445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K435" i="10" s="1"/>
  <c r="J434" i="10"/>
  <c r="J418" i="10" s="1"/>
  <c r="P431" i="10"/>
  <c r="L431" i="10"/>
  <c r="P430" i="10"/>
  <c r="O430" i="10"/>
  <c r="N429" i="10"/>
  <c r="M429" i="10"/>
  <c r="P429" i="10" s="1"/>
  <c r="N424" i="10"/>
  <c r="N421" i="10" s="1"/>
  <c r="N419" i="10" s="1"/>
  <c r="N414" i="10" s="1"/>
  <c r="L424" i="10"/>
  <c r="M424" i="10" s="1"/>
  <c r="M422" i="10" s="1"/>
  <c r="P422" i="10" s="1"/>
  <c r="P423" i="10"/>
  <c r="O423" i="10"/>
  <c r="N422" i="10"/>
  <c r="O420" i="10"/>
  <c r="N420" i="10"/>
  <c r="M420" i="10"/>
  <c r="L420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N405" i="10" s="1"/>
  <c r="M407" i="10"/>
  <c r="L407" i="10"/>
  <c r="P406" i="10"/>
  <c r="O406" i="10"/>
  <c r="O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L397" i="10"/>
  <c r="P396" i="10"/>
  <c r="O396" i="10"/>
  <c r="N394" i="10"/>
  <c r="M394" i="10"/>
  <c r="P394" i="10" s="1"/>
  <c r="L394" i="10"/>
  <c r="P393" i="10"/>
  <c r="O393" i="10"/>
  <c r="N390" i="10"/>
  <c r="M390" i="10"/>
  <c r="L390" i="10"/>
  <c r="K388" i="10"/>
  <c r="J388" i="10"/>
  <c r="I388" i="10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M353" i="10"/>
  <c r="L353" i="10"/>
  <c r="L351" i="10" s="1"/>
  <c r="P352" i="10"/>
  <c r="O352" i="10"/>
  <c r="N350" i="10"/>
  <c r="N348" i="10" s="1"/>
  <c r="M350" i="10"/>
  <c r="L350" i="10"/>
  <c r="P349" i="10"/>
  <c r="O349" i="10"/>
  <c r="O346" i="10"/>
  <c r="N346" i="10"/>
  <c r="M346" i="10"/>
  <c r="P346" i="10" s="1"/>
  <c r="L346" i="10"/>
  <c r="J343" i="10"/>
  <c r="J342" i="10"/>
  <c r="J341" i="10"/>
  <c r="J340" i="10"/>
  <c r="I340" i="10"/>
  <c r="J338" i="10"/>
  <c r="I338" i="10"/>
  <c r="N336" i="10"/>
  <c r="N334" i="10" s="1"/>
  <c r="M336" i="10"/>
  <c r="M334" i="10" s="1"/>
  <c r="P334" i="10" s="1"/>
  <c r="L336" i="10"/>
  <c r="L334" i="10" s="1"/>
  <c r="O334" i="10" s="1"/>
  <c r="P335" i="10"/>
  <c r="O335" i="10"/>
  <c r="N333" i="10"/>
  <c r="M333" i="10"/>
  <c r="L333" i="10"/>
  <c r="P332" i="10"/>
  <c r="O332" i="10"/>
  <c r="O329" i="10"/>
  <c r="N329" i="10"/>
  <c r="M329" i="10"/>
  <c r="P329" i="10" s="1"/>
  <c r="L329" i="10"/>
  <c r="I327" i="10"/>
  <c r="I325" i="10"/>
  <c r="K325" i="10" s="1"/>
  <c r="N323" i="10"/>
  <c r="N321" i="10" s="1"/>
  <c r="M323" i="10"/>
  <c r="P323" i="10" s="1"/>
  <c r="L323" i="10"/>
  <c r="O323" i="10" s="1"/>
  <c r="P322" i="10"/>
  <c r="O322" i="10"/>
  <c r="N320" i="10"/>
  <c r="M320" i="10"/>
  <c r="L320" i="10"/>
  <c r="O320" i="10" s="1"/>
  <c r="P319" i="10"/>
  <c r="O319" i="10"/>
  <c r="O316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P305" i="10"/>
  <c r="O305" i="10"/>
  <c r="N303" i="10"/>
  <c r="N301" i="10" s="1"/>
  <c r="M303" i="10"/>
  <c r="M301" i="10" s="1"/>
  <c r="P301" i="10" s="1"/>
  <c r="L303" i="10"/>
  <c r="P302" i="10"/>
  <c r="O302" i="10"/>
  <c r="P299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K288" i="10" s="1"/>
  <c r="I287" i="10"/>
  <c r="K287" i="10" s="1"/>
  <c r="N285" i="10"/>
  <c r="N283" i="10" s="1"/>
  <c r="M285" i="10"/>
  <c r="L285" i="10"/>
  <c r="L283" i="10" s="1"/>
  <c r="O283" i="10" s="1"/>
  <c r="P284" i="10"/>
  <c r="O284" i="10"/>
  <c r="N282" i="10"/>
  <c r="M282" i="10"/>
  <c r="P282" i="10" s="1"/>
  <c r="L282" i="10"/>
  <c r="P281" i="10"/>
  <c r="O281" i="10"/>
  <c r="P278" i="10"/>
  <c r="O278" i="10"/>
  <c r="N278" i="10"/>
  <c r="M278" i="10"/>
  <c r="L278" i="10"/>
  <c r="J276" i="10"/>
  <c r="I271" i="10"/>
  <c r="I260" i="10" s="1"/>
  <c r="K260" i="10" s="1"/>
  <c r="N269" i="10"/>
  <c r="N267" i="10" s="1"/>
  <c r="M269" i="10"/>
  <c r="P269" i="10" s="1"/>
  <c r="L269" i="10"/>
  <c r="O269" i="10" s="1"/>
  <c r="P268" i="10"/>
  <c r="O268" i="10"/>
  <c r="N266" i="10"/>
  <c r="M266" i="10"/>
  <c r="M264" i="10" s="1"/>
  <c r="L266" i="10"/>
  <c r="P265" i="10"/>
  <c r="O265" i="10"/>
  <c r="O262" i="10"/>
  <c r="N262" i="10"/>
  <c r="M262" i="10"/>
  <c r="P262" i="10" s="1"/>
  <c r="L262" i="10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J226" i="10" s="1"/>
  <c r="J180" i="10" s="1"/>
  <c r="K247" i="10"/>
  <c r="K246" i="10"/>
  <c r="I244" i="10"/>
  <c r="I237" i="10" s="1"/>
  <c r="L242" i="10"/>
  <c r="L241" i="10"/>
  <c r="L240" i="10"/>
  <c r="L239" i="10"/>
  <c r="P238" i="10"/>
  <c r="N238" i="10"/>
  <c r="N227" i="10" s="1"/>
  <c r="J237" i="10"/>
  <c r="J236" i="10"/>
  <c r="I236" i="10"/>
  <c r="J235" i="10"/>
  <c r="I235" i="10"/>
  <c r="K235" i="10" s="1"/>
  <c r="J233" i="10"/>
  <c r="N231" i="10"/>
  <c r="N230" i="10"/>
  <c r="N229" i="10"/>
  <c r="N228" i="10"/>
  <c r="I225" i="10"/>
  <c r="K225" i="10" s="1"/>
  <c r="I224" i="10"/>
  <c r="I216" i="10" s="1"/>
  <c r="I223" i="10"/>
  <c r="K223" i="10" s="1"/>
  <c r="L220" i="10"/>
  <c r="L219" i="10"/>
  <c r="L218" i="10"/>
  <c r="P217" i="10"/>
  <c r="N217" i="10"/>
  <c r="J216" i="10"/>
  <c r="I215" i="10"/>
  <c r="I208" i="10" s="1"/>
  <c r="K208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P188" i="10"/>
  <c r="O188" i="10"/>
  <c r="N186" i="10"/>
  <c r="M186" i="10"/>
  <c r="M184" i="10" s="1"/>
  <c r="L186" i="10"/>
  <c r="P185" i="10"/>
  <c r="O185" i="10"/>
  <c r="O182" i="10"/>
  <c r="N182" i="10"/>
  <c r="M182" i="10"/>
  <c r="P182" i="10" s="1"/>
  <c r="L182" i="10"/>
  <c r="J177" i="10"/>
  <c r="J164" i="10" s="1"/>
  <c r="I176" i="10"/>
  <c r="J174" i="10"/>
  <c r="N173" i="10"/>
  <c r="N171" i="10" s="1"/>
  <c r="M173" i="10"/>
  <c r="P173" i="10" s="1"/>
  <c r="L173" i="10"/>
  <c r="L171" i="10" s="1"/>
  <c r="O171" i="10" s="1"/>
  <c r="P172" i="10"/>
  <c r="O172" i="10"/>
  <c r="N170" i="10"/>
  <c r="M170" i="10"/>
  <c r="M168" i="10" s="1"/>
  <c r="L170" i="10"/>
  <c r="P169" i="10"/>
  <c r="O169" i="10"/>
  <c r="N166" i="10"/>
  <c r="M166" i="10"/>
  <c r="P166" i="10" s="1"/>
  <c r="L166" i="10"/>
  <c r="O166" i="10" s="1"/>
  <c r="I159" i="10"/>
  <c r="I148" i="10" s="1"/>
  <c r="K148" i="10" s="1"/>
  <c r="N157" i="10"/>
  <c r="N155" i="10" s="1"/>
  <c r="M157" i="10"/>
  <c r="L157" i="10"/>
  <c r="P156" i="10"/>
  <c r="O156" i="10"/>
  <c r="N154" i="10"/>
  <c r="N152" i="10" s="1"/>
  <c r="M154" i="10"/>
  <c r="P154" i="10" s="1"/>
  <c r="L154" i="10"/>
  <c r="O154" i="10" s="1"/>
  <c r="P153" i="10"/>
  <c r="O153" i="10"/>
  <c r="P150" i="10"/>
  <c r="O150" i="10"/>
  <c r="N150" i="10"/>
  <c r="M150" i="10"/>
  <c r="L150" i="10"/>
  <c r="J148" i="10"/>
  <c r="I146" i="10"/>
  <c r="I130" i="10" s="1"/>
  <c r="K130" i="10" s="1"/>
  <c r="I145" i="10"/>
  <c r="K145" i="10" s="1"/>
  <c r="I144" i="10"/>
  <c r="K144" i="10" s="1"/>
  <c r="N140" i="10"/>
  <c r="N138" i="10" s="1"/>
  <c r="M140" i="10"/>
  <c r="P140" i="10" s="1"/>
  <c r="L140" i="10"/>
  <c r="L138" i="10" s="1"/>
  <c r="O138" i="10" s="1"/>
  <c r="P139" i="10"/>
  <c r="O139" i="10"/>
  <c r="N137" i="10"/>
  <c r="M137" i="10"/>
  <c r="L137" i="10"/>
  <c r="O137" i="10" s="1"/>
  <c r="P136" i="10"/>
  <c r="O136" i="10"/>
  <c r="N133" i="10"/>
  <c r="M133" i="10"/>
  <c r="L133" i="10"/>
  <c r="O133" i="10" s="1"/>
  <c r="J130" i="10"/>
  <c r="N127" i="10"/>
  <c r="N125" i="10" s="1"/>
  <c r="M127" i="10"/>
  <c r="L127" i="10"/>
  <c r="O127" i="10" s="1"/>
  <c r="P126" i="10"/>
  <c r="O126" i="10"/>
  <c r="N124" i="10"/>
  <c r="N122" i="10" s="1"/>
  <c r="M124" i="10"/>
  <c r="M122" i="10" s="1"/>
  <c r="P122" i="10" s="1"/>
  <c r="L124" i="10"/>
  <c r="O124" i="10" s="1"/>
  <c r="P123" i="10"/>
  <c r="O123" i="10"/>
  <c r="O120" i="10"/>
  <c r="N120" i="10"/>
  <c r="M120" i="10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K87" i="10" s="1"/>
  <c r="J98" i="10"/>
  <c r="I98" i="10"/>
  <c r="I86" i="10" s="1"/>
  <c r="K86" i="10" s="1"/>
  <c r="N96" i="10"/>
  <c r="N94" i="10" s="1"/>
  <c r="M96" i="10"/>
  <c r="M94" i="10" s="1"/>
  <c r="P94" i="10" s="1"/>
  <c r="L96" i="10"/>
  <c r="L94" i="10" s="1"/>
  <c r="O94" i="10" s="1"/>
  <c r="P95" i="10"/>
  <c r="O95" i="10"/>
  <c r="N93" i="10"/>
  <c r="N91" i="10" s="1"/>
  <c r="M93" i="10"/>
  <c r="L93" i="10"/>
  <c r="P92" i="10"/>
  <c r="O92" i="10"/>
  <c r="N89" i="10"/>
  <c r="M89" i="10"/>
  <c r="P89" i="10" s="1"/>
  <c r="L89" i="10"/>
  <c r="J87" i="10"/>
  <c r="J86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K78" i="10" s="1"/>
  <c r="J77" i="10"/>
  <c r="J76" i="10"/>
  <c r="J64" i="10" s="1"/>
  <c r="N74" i="10"/>
  <c r="N72" i="10" s="1"/>
  <c r="M74" i="10"/>
  <c r="P74" i="10" s="1"/>
  <c r="L74" i="10"/>
  <c r="L72" i="10" s="1"/>
  <c r="O72" i="10" s="1"/>
  <c r="P73" i="10"/>
  <c r="O73" i="10"/>
  <c r="N71" i="10"/>
  <c r="N69" i="10" s="1"/>
  <c r="M71" i="10"/>
  <c r="P71" i="10" s="1"/>
  <c r="L71" i="10"/>
  <c r="O71" i="10" s="1"/>
  <c r="P70" i="10"/>
  <c r="O70" i="10"/>
  <c r="P67" i="10"/>
  <c r="N67" i="10"/>
  <c r="M67" i="10"/>
  <c r="L67" i="10"/>
  <c r="O67" i="10" s="1"/>
  <c r="J65" i="10"/>
  <c r="N61" i="10"/>
  <c r="N59" i="10" s="1"/>
  <c r="M61" i="10"/>
  <c r="M59" i="10" s="1"/>
  <c r="P59" i="10" s="1"/>
  <c r="L61" i="10"/>
  <c r="O61" i="10" s="1"/>
  <c r="P60" i="10"/>
  <c r="O60" i="10"/>
  <c r="N58" i="10"/>
  <c r="N56" i="10" s="1"/>
  <c r="M58" i="10"/>
  <c r="L58" i="10"/>
  <c r="L56" i="10" s="1"/>
  <c r="P57" i="10"/>
  <c r="O57" i="10"/>
  <c r="N54" i="10"/>
  <c r="M54" i="10"/>
  <c r="P54" i="10" s="1"/>
  <c r="L54" i="10"/>
  <c r="O54" i="10" s="1"/>
  <c r="N49" i="10"/>
  <c r="N47" i="10" s="1"/>
  <c r="M49" i="10"/>
  <c r="P49" i="10" s="1"/>
  <c r="L49" i="10"/>
  <c r="L47" i="10" s="1"/>
  <c r="O47" i="10" s="1"/>
  <c r="P48" i="10"/>
  <c r="O48" i="10"/>
  <c r="N46" i="10"/>
  <c r="M46" i="10"/>
  <c r="M44" i="10" s="1"/>
  <c r="L46" i="10"/>
  <c r="P45" i="10"/>
  <c r="O45" i="10"/>
  <c r="P42" i="10"/>
  <c r="O42" i="10"/>
  <c r="N42" i="10"/>
  <c r="M42" i="10"/>
  <c r="L42" i="10"/>
  <c r="N36" i="10"/>
  <c r="M36" i="10"/>
  <c r="P36" i="10" s="1"/>
  <c r="O35" i="10"/>
  <c r="N35" i="10"/>
  <c r="M35" i="10"/>
  <c r="P35" i="10" s="1"/>
  <c r="L35" i="10"/>
  <c r="N34" i="10"/>
  <c r="N33" i="10"/>
  <c r="N32" i="10"/>
  <c r="N29" i="10" s="1"/>
  <c r="N28" i="10" s="1"/>
  <c r="M32" i="10"/>
  <c r="P32" i="10" s="1"/>
  <c r="L32" i="10"/>
  <c r="O32" i="10" s="1"/>
  <c r="N31" i="10"/>
  <c r="N30" i="10"/>
  <c r="L29" i="10"/>
  <c r="P25" i="10"/>
  <c r="O25" i="10"/>
  <c r="N25" i="10"/>
  <c r="N15" i="10" s="1"/>
  <c r="M25" i="10"/>
  <c r="L25" i="10"/>
  <c r="P22" i="10"/>
  <c r="O22" i="10"/>
  <c r="N22" i="10"/>
  <c r="M22" i="10"/>
  <c r="L22" i="10"/>
  <c r="L19" i="10" s="1"/>
  <c r="O19" i="10" s="1"/>
  <c r="N19" i="10"/>
  <c r="M15" i="10"/>
  <c r="L15" i="10"/>
  <c r="N12" i="10"/>
  <c r="N9" i="10" s="1"/>
  <c r="L12" i="10"/>
  <c r="L9" i="10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O808" i="9"/>
  <c r="N808" i="9"/>
  <c r="M808" i="9"/>
  <c r="L808" i="9"/>
  <c r="O807" i="9"/>
  <c r="M807" i="9"/>
  <c r="L807" i="9"/>
  <c r="N806" i="9"/>
  <c r="M806" i="9"/>
  <c r="P806" i="9" s="1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N788" i="9" s="1"/>
  <c r="N786" i="9" s="1"/>
  <c r="L791" i="9"/>
  <c r="L789" i="9" s="1"/>
  <c r="O789" i="9" s="1"/>
  <c r="P790" i="9"/>
  <c r="O790" i="9"/>
  <c r="P789" i="9"/>
  <c r="M789" i="9"/>
  <c r="M788" i="9"/>
  <c r="N787" i="9"/>
  <c r="M787" i="9"/>
  <c r="P787" i="9" s="1"/>
  <c r="L787" i="9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P774" i="9"/>
  <c r="O774" i="9"/>
  <c r="P773" i="9"/>
  <c r="O773" i="9"/>
  <c r="N773" i="9"/>
  <c r="M773" i="9"/>
  <c r="L773" i="9"/>
  <c r="P772" i="9"/>
  <c r="O772" i="9"/>
  <c r="N772" i="9"/>
  <c r="N770" i="9" s="1"/>
  <c r="M772" i="9"/>
  <c r="L772" i="9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N764" i="9"/>
  <c r="M764" i="9"/>
  <c r="P764" i="9" s="1"/>
  <c r="L764" i="9"/>
  <c r="O764" i="9" s="1"/>
  <c r="P759" i="9"/>
  <c r="O759" i="9"/>
  <c r="N759" i="9"/>
  <c r="P758" i="9"/>
  <c r="O758" i="9"/>
  <c r="P757" i="9"/>
  <c r="O757" i="9"/>
  <c r="N757" i="9"/>
  <c r="M757" i="9"/>
  <c r="L757" i="9"/>
  <c r="P756" i="9"/>
  <c r="O756" i="9"/>
  <c r="N756" i="9"/>
  <c r="N754" i="9" s="1"/>
  <c r="M756" i="9"/>
  <c r="L756" i="9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P741" i="9"/>
  <c r="O741" i="9"/>
  <c r="O740" i="9"/>
  <c r="N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N690" i="9"/>
  <c r="L690" i="9"/>
  <c r="O690" i="9" s="1"/>
  <c r="N688" i="9"/>
  <c r="N687" i="9"/>
  <c r="N685" i="9" s="1"/>
  <c r="O686" i="9"/>
  <c r="N686" i="9"/>
  <c r="M686" i="9"/>
  <c r="L686" i="9"/>
  <c r="J679" i="9"/>
  <c r="J678" i="9"/>
  <c r="I678" i="9"/>
  <c r="K678" i="9" s="1"/>
  <c r="J675" i="9"/>
  <c r="J669" i="9" s="1"/>
  <c r="J654" i="9" s="1"/>
  <c r="I671" i="9"/>
  <c r="K671" i="9" s="1"/>
  <c r="I670" i="9"/>
  <c r="K670" i="9" s="1"/>
  <c r="I669" i="9"/>
  <c r="K674" i="9" s="1"/>
  <c r="P667" i="9"/>
  <c r="O667" i="9"/>
  <c r="P666" i="9"/>
  <c r="O666" i="9"/>
  <c r="O665" i="9"/>
  <c r="N665" i="9"/>
  <c r="M665" i="9"/>
  <c r="P665" i="9" s="1"/>
  <c r="L665" i="9"/>
  <c r="P660" i="9"/>
  <c r="N660" i="9"/>
  <c r="N657" i="9" s="1"/>
  <c r="N655" i="9" s="1"/>
  <c r="L660" i="9"/>
  <c r="L658" i="9" s="1"/>
  <c r="O658" i="9" s="1"/>
  <c r="P659" i="9"/>
  <c r="O659" i="9"/>
  <c r="N658" i="9"/>
  <c r="M658" i="9"/>
  <c r="P658" i="9" s="1"/>
  <c r="M657" i="9"/>
  <c r="P657" i="9" s="1"/>
  <c r="P656" i="9"/>
  <c r="N656" i="9"/>
  <c r="M656" i="9"/>
  <c r="M655" i="9" s="1"/>
  <c r="P655" i="9" s="1"/>
  <c r="L656" i="9"/>
  <c r="O656" i="9" s="1"/>
  <c r="K652" i="9"/>
  <c r="J652" i="9"/>
  <c r="J651" i="9"/>
  <c r="J628" i="9" s="1"/>
  <c r="I651" i="9"/>
  <c r="K651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P634" i="9"/>
  <c r="N634" i="9"/>
  <c r="L634" i="9"/>
  <c r="L632" i="9" s="1"/>
  <c r="O632" i="9" s="1"/>
  <c r="P633" i="9"/>
  <c r="O633" i="9"/>
  <c r="P632" i="9"/>
  <c r="M632" i="9"/>
  <c r="M631" i="9"/>
  <c r="N630" i="9"/>
  <c r="M630" i="9"/>
  <c r="P630" i="9" s="1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594" i="9" s="1"/>
  <c r="J603" i="9"/>
  <c r="J596" i="9"/>
  <c r="J595" i="9"/>
  <c r="J593" i="9" s="1"/>
  <c r="J592" i="9" s="1"/>
  <c r="I594" i="9"/>
  <c r="K594" i="9" s="1"/>
  <c r="I593" i="9"/>
  <c r="J583" i="9"/>
  <c r="J577" i="9" s="1"/>
  <c r="J582" i="9"/>
  <c r="I577" i="9"/>
  <c r="K577" i="9" s="1"/>
  <c r="J576" i="9"/>
  <c r="J559" i="9" s="1"/>
  <c r="J543" i="9" s="1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N545" i="9" s="1"/>
  <c r="N544" i="9" s="1"/>
  <c r="M555" i="9"/>
  <c r="P555" i="9" s="1"/>
  <c r="N549" i="9"/>
  <c r="L549" i="9"/>
  <c r="O549" i="9" s="1"/>
  <c r="P548" i="9"/>
  <c r="O548" i="9"/>
  <c r="N547" i="9"/>
  <c r="N546" i="9"/>
  <c r="P545" i="9"/>
  <c r="M545" i="9"/>
  <c r="L545" i="9"/>
  <c r="O545" i="9" s="1"/>
  <c r="I542" i="9"/>
  <c r="K542" i="9" s="1"/>
  <c r="I541" i="9"/>
  <c r="K541" i="9" s="1"/>
  <c r="I540" i="9"/>
  <c r="K540" i="9" s="1"/>
  <c r="I539" i="9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L528" i="9"/>
  <c r="L526" i="9" s="1"/>
  <c r="O526" i="9" s="1"/>
  <c r="P527" i="9"/>
  <c r="O527" i="9"/>
  <c r="P526" i="9"/>
  <c r="N526" i="9"/>
  <c r="M526" i="9"/>
  <c r="N525" i="9"/>
  <c r="M525" i="9"/>
  <c r="P525" i="9" s="1"/>
  <c r="P524" i="9"/>
  <c r="N524" i="9"/>
  <c r="N523" i="9" s="1"/>
  <c r="M524" i="9"/>
  <c r="L524" i="9"/>
  <c r="O524" i="9" s="1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N504" i="9" s="1"/>
  <c r="P506" i="9"/>
  <c r="O506" i="9"/>
  <c r="P505" i="9"/>
  <c r="N505" i="9"/>
  <c r="M505" i="9"/>
  <c r="L505" i="9"/>
  <c r="O505" i="9" s="1"/>
  <c r="O504" i="9"/>
  <c r="M504" i="9"/>
  <c r="P504" i="9" s="1"/>
  <c r="L504" i="9"/>
  <c r="N503" i="9"/>
  <c r="N502" i="9" s="1"/>
  <c r="M503" i="9"/>
  <c r="P503" i="9" s="1"/>
  <c r="L503" i="9"/>
  <c r="M502" i="9"/>
  <c r="P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L472" i="9"/>
  <c r="L470" i="9" s="1"/>
  <c r="O470" i="9" s="1"/>
  <c r="P471" i="9"/>
  <c r="O471" i="9"/>
  <c r="P470" i="9"/>
  <c r="M470" i="9"/>
  <c r="P469" i="9"/>
  <c r="M469" i="9"/>
  <c r="N468" i="9"/>
  <c r="M468" i="9"/>
  <c r="P468" i="9" s="1"/>
  <c r="L468" i="9"/>
  <c r="M467" i="9"/>
  <c r="P467" i="9" s="1"/>
  <c r="J466" i="9"/>
  <c r="I466" i="9"/>
  <c r="K466" i="9" s="1"/>
  <c r="J465" i="9"/>
  <c r="I465" i="9"/>
  <c r="K465" i="9" s="1"/>
  <c r="I464" i="9"/>
  <c r="I463" i="9"/>
  <c r="I462" i="9"/>
  <c r="I460" i="9"/>
  <c r="K460" i="9" s="1"/>
  <c r="K458" i="9"/>
  <c r="P456" i="9"/>
  <c r="L456" i="9"/>
  <c r="L454" i="9" s="1"/>
  <c r="O454" i="9" s="1"/>
  <c r="P455" i="9"/>
  <c r="O455" i="9"/>
  <c r="P454" i="9"/>
  <c r="N454" i="9"/>
  <c r="M454" i="9"/>
  <c r="P449" i="9"/>
  <c r="N449" i="9"/>
  <c r="L449" i="9"/>
  <c r="O449" i="9" s="1"/>
  <c r="P448" i="9"/>
  <c r="O448" i="9"/>
  <c r="N447" i="9"/>
  <c r="M447" i="9"/>
  <c r="P447" i="9" s="1"/>
  <c r="P446" i="9"/>
  <c r="N446" i="9"/>
  <c r="N444" i="9" s="1"/>
  <c r="M446" i="9"/>
  <c r="P445" i="9"/>
  <c r="O445" i="9"/>
  <c r="N445" i="9"/>
  <c r="M445" i="9"/>
  <c r="M444" i="9" s="1"/>
  <c r="P444" i="9" s="1"/>
  <c r="L445" i="9"/>
  <c r="J443" i="9"/>
  <c r="J442" i="9"/>
  <c r="I441" i="9"/>
  <c r="K441" i="9" s="1"/>
  <c r="I440" i="9"/>
  <c r="I439" i="9"/>
  <c r="K439" i="9" s="1"/>
  <c r="I438" i="9"/>
  <c r="K438" i="9" s="1"/>
  <c r="I437" i="9"/>
  <c r="K437" i="9" s="1"/>
  <c r="I435" i="9"/>
  <c r="J434" i="9"/>
  <c r="P431" i="9"/>
  <c r="L431" i="9"/>
  <c r="P430" i="9"/>
  <c r="O430" i="9"/>
  <c r="P429" i="9"/>
  <c r="N429" i="9"/>
  <c r="M429" i="9"/>
  <c r="L429" i="9"/>
  <c r="O429" i="9" s="1"/>
  <c r="N424" i="9"/>
  <c r="N422" i="9" s="1"/>
  <c r="L424" i="9"/>
  <c r="M424" i="9" s="1"/>
  <c r="M422" i="9" s="1"/>
  <c r="P422" i="9" s="1"/>
  <c r="P423" i="9"/>
  <c r="O423" i="9"/>
  <c r="N421" i="9"/>
  <c r="P420" i="9"/>
  <c r="O420" i="9"/>
  <c r="N420" i="9"/>
  <c r="N419" i="9" s="1"/>
  <c r="M420" i="9"/>
  <c r="L420" i="9"/>
  <c r="J418" i="9"/>
  <c r="K413" i="9"/>
  <c r="K412" i="9"/>
  <c r="N410" i="9"/>
  <c r="N408" i="9" s="1"/>
  <c r="M410" i="9"/>
  <c r="L410" i="9"/>
  <c r="L408" i="9" s="1"/>
  <c r="O408" i="9" s="1"/>
  <c r="P409" i="9"/>
  <c r="O409" i="9"/>
  <c r="N407" i="9"/>
  <c r="M407" i="9"/>
  <c r="L407" i="9"/>
  <c r="L405" i="9" s="1"/>
  <c r="O405" i="9" s="1"/>
  <c r="P406" i="9"/>
  <c r="O406" i="9"/>
  <c r="N403" i="9"/>
  <c r="M403" i="9"/>
  <c r="P403" i="9" s="1"/>
  <c r="L403" i="9"/>
  <c r="K401" i="9"/>
  <c r="J401" i="9"/>
  <c r="I401" i="9"/>
  <c r="K400" i="9"/>
  <c r="K399" i="9"/>
  <c r="N397" i="9"/>
  <c r="N395" i="9" s="1"/>
  <c r="M397" i="9"/>
  <c r="L397" i="9"/>
  <c r="L395" i="9" s="1"/>
  <c r="O395" i="9" s="1"/>
  <c r="P396" i="9"/>
  <c r="O396" i="9"/>
  <c r="N394" i="9"/>
  <c r="N392" i="9" s="1"/>
  <c r="M394" i="9"/>
  <c r="P394" i="9" s="1"/>
  <c r="L394" i="9"/>
  <c r="O394" i="9" s="1"/>
  <c r="P393" i="9"/>
  <c r="O393" i="9"/>
  <c r="O390" i="9"/>
  <c r="N390" i="9"/>
  <c r="M390" i="9"/>
  <c r="P390" i="9" s="1"/>
  <c r="L390" i="9"/>
  <c r="J388" i="9"/>
  <c r="I388" i="9"/>
  <c r="K388" i="9" s="1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5" i="9" s="1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N351" i="9" s="1"/>
  <c r="M353" i="9"/>
  <c r="M351" i="9" s="1"/>
  <c r="L353" i="9"/>
  <c r="L351" i="9" s="1"/>
  <c r="P352" i="9"/>
  <c r="O352" i="9"/>
  <c r="N350" i="9"/>
  <c r="N348" i="9" s="1"/>
  <c r="M350" i="9"/>
  <c r="M348" i="9" s="1"/>
  <c r="L350" i="9"/>
  <c r="L348" i="9" s="1"/>
  <c r="P349" i="9"/>
  <c r="O349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P335" i="9"/>
  <c r="O335" i="9"/>
  <c r="N333" i="9"/>
  <c r="M333" i="9"/>
  <c r="M331" i="9" s="1"/>
  <c r="L333" i="9"/>
  <c r="L331" i="9" s="1"/>
  <c r="P332" i="9"/>
  <c r="O332" i="9"/>
  <c r="N329" i="9"/>
  <c r="M329" i="9"/>
  <c r="P329" i="9" s="1"/>
  <c r="L329" i="9"/>
  <c r="O329" i="9" s="1"/>
  <c r="I327" i="9"/>
  <c r="I325" i="9"/>
  <c r="N323" i="9"/>
  <c r="N321" i="9" s="1"/>
  <c r="M323" i="9"/>
  <c r="M321" i="9" s="1"/>
  <c r="P321" i="9" s="1"/>
  <c r="L323" i="9"/>
  <c r="P322" i="9"/>
  <c r="O322" i="9"/>
  <c r="N320" i="9"/>
  <c r="M320" i="9"/>
  <c r="L320" i="9"/>
  <c r="O320" i="9" s="1"/>
  <c r="P319" i="9"/>
  <c r="O319" i="9"/>
  <c r="P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N306" i="9"/>
  <c r="N304" i="9" s="1"/>
  <c r="M306" i="9"/>
  <c r="P306" i="9" s="1"/>
  <c r="L306" i="9"/>
  <c r="P305" i="9"/>
  <c r="O305" i="9"/>
  <c r="N303" i="9"/>
  <c r="M303" i="9"/>
  <c r="P303" i="9" s="1"/>
  <c r="L303" i="9"/>
  <c r="P302" i="9"/>
  <c r="O302" i="9"/>
  <c r="N299" i="9"/>
  <c r="M299" i="9"/>
  <c r="P299" i="9" s="1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87" i="9"/>
  <c r="K287" i="9" s="1"/>
  <c r="N285" i="9"/>
  <c r="N283" i="9" s="1"/>
  <c r="M285" i="9"/>
  <c r="L285" i="9"/>
  <c r="P284" i="9"/>
  <c r="O284" i="9"/>
  <c r="N282" i="9"/>
  <c r="M282" i="9"/>
  <c r="P282" i="9" s="1"/>
  <c r="L282" i="9"/>
  <c r="O282" i="9" s="1"/>
  <c r="P281" i="9"/>
  <c r="O281" i="9"/>
  <c r="N278" i="9"/>
  <c r="M278" i="9"/>
  <c r="P278" i="9" s="1"/>
  <c r="L278" i="9"/>
  <c r="O278" i="9" s="1"/>
  <c r="J276" i="9"/>
  <c r="I271" i="9"/>
  <c r="N269" i="9"/>
  <c r="N267" i="9" s="1"/>
  <c r="M269" i="9"/>
  <c r="L269" i="9"/>
  <c r="P268" i="9"/>
  <c r="O268" i="9"/>
  <c r="N266" i="9"/>
  <c r="M266" i="9"/>
  <c r="L266" i="9"/>
  <c r="L264" i="9" s="1"/>
  <c r="P265" i="9"/>
  <c r="O265" i="9"/>
  <c r="N262" i="9"/>
  <c r="M262" i="9"/>
  <c r="L262" i="9"/>
  <c r="O262" i="9" s="1"/>
  <c r="J260" i="9"/>
  <c r="K258" i="9"/>
  <c r="K257" i="9"/>
  <c r="I255" i="9"/>
  <c r="I248" i="9" s="1"/>
  <c r="K248" i="9" s="1"/>
  <c r="L253" i="9"/>
  <c r="L252" i="9"/>
  <c r="L251" i="9"/>
  <c r="L250" i="9"/>
  <c r="P249" i="9"/>
  <c r="N249" i="9"/>
  <c r="J248" i="9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N227" i="9"/>
  <c r="J226" i="9"/>
  <c r="J180" i="9" s="1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14" i="9"/>
  <c r="K214" i="9" s="1"/>
  <c r="L212" i="9"/>
  <c r="L211" i="9"/>
  <c r="L210" i="9"/>
  <c r="P209" i="9"/>
  <c r="N209" i="9"/>
  <c r="J208" i="9"/>
  <c r="I204" i="9"/>
  <c r="K204" i="9" s="1"/>
  <c r="L202" i="9"/>
  <c r="L201" i="9"/>
  <c r="L200" i="9"/>
  <c r="L199" i="9"/>
  <c r="P198" i="9"/>
  <c r="N198" i="9"/>
  <c r="J197" i="9"/>
  <c r="J194" i="9"/>
  <c r="I193" i="9"/>
  <c r="P191" i="9"/>
  <c r="L191" i="9"/>
  <c r="O191" i="9" s="1"/>
  <c r="J190" i="9"/>
  <c r="N189" i="9"/>
  <c r="N187" i="9" s="1"/>
  <c r="M189" i="9"/>
  <c r="P189" i="9" s="1"/>
  <c r="L189" i="9"/>
  <c r="L187" i="9" s="1"/>
  <c r="O187" i="9" s="1"/>
  <c r="P188" i="9"/>
  <c r="O188" i="9"/>
  <c r="N186" i="9"/>
  <c r="M186" i="9"/>
  <c r="M184" i="9" s="1"/>
  <c r="L186" i="9"/>
  <c r="P185" i="9"/>
  <c r="O185" i="9"/>
  <c r="O182" i="9"/>
  <c r="N182" i="9"/>
  <c r="M182" i="9"/>
  <c r="P182" i="9" s="1"/>
  <c r="L182" i="9"/>
  <c r="J177" i="9"/>
  <c r="J164" i="9" s="1"/>
  <c r="I176" i="9"/>
  <c r="I174" i="9" s="1"/>
  <c r="J174" i="9"/>
  <c r="N173" i="9"/>
  <c r="M173" i="9"/>
  <c r="P173" i="9" s="1"/>
  <c r="L173" i="9"/>
  <c r="L171" i="9" s="1"/>
  <c r="O171" i="9" s="1"/>
  <c r="P172" i="9"/>
  <c r="O172" i="9"/>
  <c r="N170" i="9"/>
  <c r="N168" i="9" s="1"/>
  <c r="M170" i="9"/>
  <c r="M168" i="9" s="1"/>
  <c r="L170" i="9"/>
  <c r="P169" i="9"/>
  <c r="O169" i="9"/>
  <c r="O166" i="9"/>
  <c r="N166" i="9"/>
  <c r="M166" i="9"/>
  <c r="P166" i="9" s="1"/>
  <c r="L166" i="9"/>
  <c r="I159" i="9"/>
  <c r="N157" i="9"/>
  <c r="N155" i="9" s="1"/>
  <c r="M157" i="9"/>
  <c r="P157" i="9" s="1"/>
  <c r="L157" i="9"/>
  <c r="O157" i="9" s="1"/>
  <c r="P156" i="9"/>
  <c r="O156" i="9"/>
  <c r="N154" i="9"/>
  <c r="N152" i="9" s="1"/>
  <c r="M154" i="9"/>
  <c r="P154" i="9" s="1"/>
  <c r="L154" i="9"/>
  <c r="O154" i="9" s="1"/>
  <c r="P153" i="9"/>
  <c r="O153" i="9"/>
  <c r="P150" i="9"/>
  <c r="O150" i="9"/>
  <c r="N150" i="9"/>
  <c r="M150" i="9"/>
  <c r="L150" i="9"/>
  <c r="J148" i="9"/>
  <c r="I146" i="9"/>
  <c r="K146" i="9" s="1"/>
  <c r="I145" i="9"/>
  <c r="I143" i="9" s="1"/>
  <c r="I144" i="9"/>
  <c r="N140" i="9"/>
  <c r="N138" i="9" s="1"/>
  <c r="M140" i="9"/>
  <c r="P140" i="9" s="1"/>
  <c r="L140" i="9"/>
  <c r="L138" i="9" s="1"/>
  <c r="O138" i="9" s="1"/>
  <c r="P139" i="9"/>
  <c r="O139" i="9"/>
  <c r="N137" i="9"/>
  <c r="N135" i="9" s="1"/>
  <c r="M137" i="9"/>
  <c r="P137" i="9" s="1"/>
  <c r="L137" i="9"/>
  <c r="O137" i="9" s="1"/>
  <c r="P136" i="9"/>
  <c r="O136" i="9"/>
  <c r="N133" i="9"/>
  <c r="M133" i="9"/>
  <c r="P133" i="9" s="1"/>
  <c r="L133" i="9"/>
  <c r="O133" i="9" s="1"/>
  <c r="J130" i="9"/>
  <c r="N127" i="9"/>
  <c r="N125" i="9" s="1"/>
  <c r="M127" i="9"/>
  <c r="L127" i="9"/>
  <c r="O127" i="9" s="1"/>
  <c r="P126" i="9"/>
  <c r="O126" i="9"/>
  <c r="N124" i="9"/>
  <c r="N122" i="9" s="1"/>
  <c r="M124" i="9"/>
  <c r="L124" i="9"/>
  <c r="O124" i="9" s="1"/>
  <c r="P123" i="9"/>
  <c r="O123" i="9"/>
  <c r="P120" i="9"/>
  <c r="O120" i="9"/>
  <c r="N120" i="9"/>
  <c r="M120" i="9"/>
  <c r="L120" i="9"/>
  <c r="I116" i="9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J99" i="9"/>
  <c r="J87" i="9" s="1"/>
  <c r="I99" i="9"/>
  <c r="J98" i="9"/>
  <c r="I98" i="9"/>
  <c r="I86" i="9" s="1"/>
  <c r="K86" i="9" s="1"/>
  <c r="N96" i="9"/>
  <c r="N94" i="9" s="1"/>
  <c r="M96" i="9"/>
  <c r="P96" i="9" s="1"/>
  <c r="L96" i="9"/>
  <c r="P95" i="9"/>
  <c r="O95" i="9"/>
  <c r="N93" i="9"/>
  <c r="N91" i="9" s="1"/>
  <c r="M93" i="9"/>
  <c r="L93" i="9"/>
  <c r="L91" i="9" s="1"/>
  <c r="P92" i="9"/>
  <c r="O92" i="9"/>
  <c r="O89" i="9"/>
  <c r="N89" i="9"/>
  <c r="M89" i="9"/>
  <c r="P89" i="9" s="1"/>
  <c r="L89" i="9"/>
  <c r="J86" i="9"/>
  <c r="I84" i="9"/>
  <c r="K84" i="9" s="1"/>
  <c r="I83" i="9"/>
  <c r="K83" i="9" s="1"/>
  <c r="I82" i="9"/>
  <c r="K82" i="9" s="1"/>
  <c r="I81" i="9"/>
  <c r="K81" i="9" s="1"/>
  <c r="I80" i="9"/>
  <c r="I79" i="9"/>
  <c r="K79" i="9" s="1"/>
  <c r="I78" i="9"/>
  <c r="K78" i="9" s="1"/>
  <c r="J77" i="9"/>
  <c r="J65" i="9" s="1"/>
  <c r="J76" i="9"/>
  <c r="N74" i="9"/>
  <c r="N72" i="9" s="1"/>
  <c r="M74" i="9"/>
  <c r="P74" i="9" s="1"/>
  <c r="L74" i="9"/>
  <c r="O74" i="9" s="1"/>
  <c r="P73" i="9"/>
  <c r="O73" i="9"/>
  <c r="N71" i="9"/>
  <c r="N69" i="9" s="1"/>
  <c r="M71" i="9"/>
  <c r="P71" i="9" s="1"/>
  <c r="L71" i="9"/>
  <c r="L69" i="9" s="1"/>
  <c r="O69" i="9" s="1"/>
  <c r="P70" i="9"/>
  <c r="O70" i="9"/>
  <c r="N67" i="9"/>
  <c r="M67" i="9"/>
  <c r="P67" i="9" s="1"/>
  <c r="L67" i="9"/>
  <c r="O67" i="9" s="1"/>
  <c r="J64" i="9"/>
  <c r="N61" i="9"/>
  <c r="N59" i="9" s="1"/>
  <c r="M61" i="9"/>
  <c r="L61" i="9"/>
  <c r="L59" i="9" s="1"/>
  <c r="O59" i="9" s="1"/>
  <c r="P60" i="9"/>
  <c r="O60" i="9"/>
  <c r="N58" i="9"/>
  <c r="M58" i="9"/>
  <c r="M56" i="9" s="1"/>
  <c r="L58" i="9"/>
  <c r="P57" i="9"/>
  <c r="O57" i="9"/>
  <c r="P54" i="9"/>
  <c r="O54" i="9"/>
  <c r="N54" i="9"/>
  <c r="M54" i="9"/>
  <c r="L54" i="9"/>
  <c r="N49" i="9"/>
  <c r="N47" i="9" s="1"/>
  <c r="M49" i="9"/>
  <c r="M47" i="9" s="1"/>
  <c r="P47" i="9" s="1"/>
  <c r="L49" i="9"/>
  <c r="O49" i="9" s="1"/>
  <c r="P48" i="9"/>
  <c r="O48" i="9"/>
  <c r="N46" i="9"/>
  <c r="M46" i="9"/>
  <c r="L46" i="9"/>
  <c r="L44" i="9" s="1"/>
  <c r="P45" i="9"/>
  <c r="O45" i="9"/>
  <c r="N42" i="9"/>
  <c r="M42" i="9"/>
  <c r="P42" i="9" s="1"/>
  <c r="L42" i="9"/>
  <c r="O42" i="9" s="1"/>
  <c r="P36" i="9"/>
  <c r="N36" i="9"/>
  <c r="M36" i="9"/>
  <c r="P35" i="9"/>
  <c r="O35" i="9"/>
  <c r="N35" i="9"/>
  <c r="M35" i="9"/>
  <c r="M34" i="9" s="1"/>
  <c r="P34" i="9" s="1"/>
  <c r="L35" i="9"/>
  <c r="N34" i="9"/>
  <c r="N33" i="9"/>
  <c r="N32" i="9"/>
  <c r="M32" i="9"/>
  <c r="L32" i="9"/>
  <c r="L12" i="9" s="1"/>
  <c r="N29" i="9"/>
  <c r="N25" i="9"/>
  <c r="M25" i="9"/>
  <c r="L25" i="9"/>
  <c r="O25" i="9" s="1"/>
  <c r="P22" i="9"/>
  <c r="O22" i="9"/>
  <c r="N22" i="9"/>
  <c r="N19" i="9" s="1"/>
  <c r="M22" i="9"/>
  <c r="L22" i="9"/>
  <c r="M19" i="9"/>
  <c r="L19" i="9"/>
  <c r="O19" i="9" s="1"/>
  <c r="N15" i="9"/>
  <c r="M15" i="9"/>
  <c r="M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N807" i="8" s="1"/>
  <c r="N805" i="8" s="1"/>
  <c r="P809" i="8"/>
  <c r="O809" i="8"/>
  <c r="O808" i="8"/>
  <c r="N808" i="8"/>
  <c r="M808" i="8"/>
  <c r="P808" i="8" s="1"/>
  <c r="L808" i="8"/>
  <c r="M807" i="8"/>
  <c r="P807" i="8" s="1"/>
  <c r="L807" i="8"/>
  <c r="O807" i="8" s="1"/>
  <c r="N806" i="8"/>
  <c r="M806" i="8"/>
  <c r="P806" i="8" s="1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L788" i="8" s="1"/>
  <c r="O788" i="8" s="1"/>
  <c r="P790" i="8"/>
  <c r="O790" i="8"/>
  <c r="N789" i="8"/>
  <c r="M789" i="8"/>
  <c r="P789" i="8" s="1"/>
  <c r="M788" i="8"/>
  <c r="P788" i="8" s="1"/>
  <c r="P787" i="8"/>
  <c r="N787" i="8"/>
  <c r="M787" i="8"/>
  <c r="M786" i="8" s="1"/>
  <c r="P786" i="8" s="1"/>
  <c r="L787" i="8"/>
  <c r="P782" i="8"/>
  <c r="O782" i="8"/>
  <c r="P781" i="8"/>
  <c r="O781" i="8"/>
  <c r="P780" i="8"/>
  <c r="O780" i="8"/>
  <c r="N780" i="8"/>
  <c r="M780" i="8"/>
  <c r="L780" i="8"/>
  <c r="P775" i="8"/>
  <c r="O775" i="8"/>
  <c r="N775" i="8"/>
  <c r="P774" i="8"/>
  <c r="O774" i="8"/>
  <c r="O773" i="8"/>
  <c r="N773" i="8"/>
  <c r="M773" i="8"/>
  <c r="P773" i="8" s="1"/>
  <c r="L773" i="8"/>
  <c r="N772" i="8"/>
  <c r="M772" i="8"/>
  <c r="P772" i="8" s="1"/>
  <c r="L772" i="8"/>
  <c r="O772" i="8" s="1"/>
  <c r="N771" i="8"/>
  <c r="N770" i="8" s="1"/>
  <c r="M771" i="8"/>
  <c r="L771" i="8"/>
  <c r="O771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P758" i="8"/>
  <c r="O758" i="8"/>
  <c r="O757" i="8"/>
  <c r="N757" i="8"/>
  <c r="M757" i="8"/>
  <c r="P757" i="8" s="1"/>
  <c r="L757" i="8"/>
  <c r="N756" i="8"/>
  <c r="N754" i="8" s="1"/>
  <c r="M756" i="8"/>
  <c r="P756" i="8" s="1"/>
  <c r="L756" i="8"/>
  <c r="O756" i="8" s="1"/>
  <c r="N755" i="8"/>
  <c r="M755" i="8"/>
  <c r="L755" i="8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P741" i="8"/>
  <c r="O741" i="8"/>
  <c r="O740" i="8"/>
  <c r="N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O695" i="8"/>
  <c r="N695" i="8"/>
  <c r="M695" i="8"/>
  <c r="L695" i="8"/>
  <c r="N694" i="8"/>
  <c r="N690" i="8" s="1"/>
  <c r="L690" i="8"/>
  <c r="L687" i="8" s="1"/>
  <c r="N687" i="8"/>
  <c r="N686" i="8"/>
  <c r="M686" i="8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I654" i="8" s="1"/>
  <c r="P667" i="8"/>
  <c r="O667" i="8"/>
  <c r="P666" i="8"/>
  <c r="O666" i="8"/>
  <c r="N665" i="8"/>
  <c r="M665" i="8"/>
  <c r="P665" i="8" s="1"/>
  <c r="L665" i="8"/>
  <c r="O665" i="8" s="1"/>
  <c r="N660" i="8"/>
  <c r="L660" i="8"/>
  <c r="L657" i="8" s="1"/>
  <c r="O657" i="8" s="1"/>
  <c r="P659" i="8"/>
  <c r="O659" i="8"/>
  <c r="N658" i="8"/>
  <c r="N657" i="8"/>
  <c r="P656" i="8"/>
  <c r="N656" i="8"/>
  <c r="M656" i="8"/>
  <c r="L656" i="8"/>
  <c r="N655" i="8"/>
  <c r="J654" i="8"/>
  <c r="K652" i="8"/>
  <c r="J652" i="8"/>
  <c r="J651" i="8"/>
  <c r="J628" i="8" s="1"/>
  <c r="I651" i="8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P634" i="8"/>
  <c r="N634" i="8"/>
  <c r="L634" i="8"/>
  <c r="L632" i="8" s="1"/>
  <c r="O632" i="8" s="1"/>
  <c r="P633" i="8"/>
  <c r="O633" i="8"/>
  <c r="P632" i="8"/>
  <c r="N632" i="8"/>
  <c r="M632" i="8"/>
  <c r="N631" i="8"/>
  <c r="M631" i="8"/>
  <c r="P631" i="8" s="1"/>
  <c r="N630" i="8"/>
  <c r="N629" i="8" s="1"/>
  <c r="M630" i="8"/>
  <c r="P630" i="8" s="1"/>
  <c r="L630" i="8"/>
  <c r="O630" i="8" s="1"/>
  <c r="M629" i="8"/>
  <c r="P629" i="8" s="1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6" i="8"/>
  <c r="J594" i="8" s="1"/>
  <c r="J595" i="8"/>
  <c r="I594" i="8"/>
  <c r="I593" i="8"/>
  <c r="I592" i="8" s="1"/>
  <c r="J583" i="8"/>
  <c r="J577" i="8" s="1"/>
  <c r="J582" i="8"/>
  <c r="I577" i="8"/>
  <c r="K577" i="8" s="1"/>
  <c r="J576" i="8"/>
  <c r="J559" i="8" s="1"/>
  <c r="J543" i="8" s="1"/>
  <c r="I576" i="8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O557" i="8" s="1"/>
  <c r="P556" i="8"/>
  <c r="O556" i="8"/>
  <c r="N555" i="8"/>
  <c r="N545" i="8" s="1"/>
  <c r="M555" i="8"/>
  <c r="P555" i="8" s="1"/>
  <c r="N553" i="8"/>
  <c r="N549" i="8"/>
  <c r="L549" i="8"/>
  <c r="O549" i="8" s="1"/>
  <c r="P548" i="8"/>
  <c r="O548" i="8"/>
  <c r="N547" i="8"/>
  <c r="N546" i="8"/>
  <c r="L545" i="8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L533" i="8" s="1"/>
  <c r="O533" i="8" s="1"/>
  <c r="P534" i="8"/>
  <c r="O534" i="8"/>
  <c r="N533" i="8"/>
  <c r="M533" i="8"/>
  <c r="P533" i="8" s="1"/>
  <c r="P528" i="8"/>
  <c r="N528" i="8"/>
  <c r="L528" i="8"/>
  <c r="P527" i="8"/>
  <c r="O527" i="8"/>
  <c r="N526" i="8"/>
  <c r="M526" i="8"/>
  <c r="P526" i="8" s="1"/>
  <c r="N525" i="8"/>
  <c r="M525" i="8"/>
  <c r="P525" i="8" s="1"/>
  <c r="P524" i="8"/>
  <c r="N524" i="8"/>
  <c r="M524" i="8"/>
  <c r="L524" i="8"/>
  <c r="O524" i="8" s="1"/>
  <c r="P523" i="8"/>
  <c r="N523" i="8"/>
  <c r="M523" i="8"/>
  <c r="K517" i="8"/>
  <c r="J517" i="8"/>
  <c r="K516" i="8"/>
  <c r="P514" i="8"/>
  <c r="O514" i="8"/>
  <c r="P513" i="8"/>
  <c r="O513" i="8"/>
  <c r="N512" i="8"/>
  <c r="M512" i="8"/>
  <c r="P512" i="8" s="1"/>
  <c r="L512" i="8"/>
  <c r="O512" i="8" s="1"/>
  <c r="P507" i="8"/>
  <c r="O507" i="8"/>
  <c r="N507" i="8"/>
  <c r="N505" i="8" s="1"/>
  <c r="P506" i="8"/>
  <c r="O506" i="8"/>
  <c r="P505" i="8"/>
  <c r="M505" i="8"/>
  <c r="L505" i="8"/>
  <c r="O505" i="8" s="1"/>
  <c r="P504" i="8"/>
  <c r="O504" i="8"/>
  <c r="N504" i="8"/>
  <c r="M504" i="8"/>
  <c r="L504" i="8"/>
  <c r="O503" i="8"/>
  <c r="N503" i="8"/>
  <c r="M503" i="8"/>
  <c r="P503" i="8" s="1"/>
  <c r="L503" i="8"/>
  <c r="N502" i="8"/>
  <c r="M502" i="8"/>
  <c r="P502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N477" i="8"/>
  <c r="M477" i="8"/>
  <c r="P477" i="8" s="1"/>
  <c r="P472" i="8"/>
  <c r="N472" i="8"/>
  <c r="L472" i="8"/>
  <c r="O472" i="8" s="1"/>
  <c r="P471" i="8"/>
  <c r="O471" i="8"/>
  <c r="P470" i="8"/>
  <c r="N470" i="8"/>
  <c r="M470" i="8"/>
  <c r="L470" i="8"/>
  <c r="O470" i="8" s="1"/>
  <c r="P469" i="8"/>
  <c r="N469" i="8"/>
  <c r="M469" i="8"/>
  <c r="O468" i="8"/>
  <c r="N468" i="8"/>
  <c r="N467" i="8" s="1"/>
  <c r="M468" i="8"/>
  <c r="P468" i="8" s="1"/>
  <c r="L468" i="8"/>
  <c r="M467" i="8"/>
  <c r="P467" i="8" s="1"/>
  <c r="J466" i="8"/>
  <c r="I466" i="8"/>
  <c r="K466" i="8" s="1"/>
  <c r="J465" i="8"/>
  <c r="I465" i="8"/>
  <c r="K465" i="8" s="1"/>
  <c r="I464" i="8"/>
  <c r="I463" i="8"/>
  <c r="I462" i="8"/>
  <c r="K462" i="8" s="1"/>
  <c r="I460" i="8"/>
  <c r="K458" i="8"/>
  <c r="P456" i="8"/>
  <c r="L456" i="8"/>
  <c r="P455" i="8"/>
  <c r="O455" i="8"/>
  <c r="N454" i="8"/>
  <c r="M454" i="8"/>
  <c r="P454" i="8" s="1"/>
  <c r="N449" i="8"/>
  <c r="L449" i="8"/>
  <c r="L446" i="8" s="1"/>
  <c r="P448" i="8"/>
  <c r="O448" i="8"/>
  <c r="N447" i="8"/>
  <c r="N446" i="8"/>
  <c r="P445" i="8"/>
  <c r="O445" i="8"/>
  <c r="N445" i="8"/>
  <c r="M445" i="8"/>
  <c r="L445" i="8"/>
  <c r="N444" i="8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K435" i="8" s="1"/>
  <c r="J434" i="8"/>
  <c r="J418" i="8" s="1"/>
  <c r="P431" i="8"/>
  <c r="L431" i="8"/>
  <c r="P430" i="8"/>
  <c r="O430" i="8"/>
  <c r="N429" i="8"/>
  <c r="M429" i="8"/>
  <c r="P429" i="8" s="1"/>
  <c r="N424" i="8"/>
  <c r="L424" i="8"/>
  <c r="M424" i="8" s="1"/>
  <c r="P423" i="8"/>
  <c r="O423" i="8"/>
  <c r="N422" i="8"/>
  <c r="N421" i="8"/>
  <c r="N420" i="8"/>
  <c r="M420" i="8"/>
  <c r="P420" i="8" s="1"/>
  <c r="L420" i="8"/>
  <c r="N419" i="8"/>
  <c r="K413" i="8"/>
  <c r="K412" i="8"/>
  <c r="N410" i="8"/>
  <c r="N408" i="8" s="1"/>
  <c r="M410" i="8"/>
  <c r="L410" i="8"/>
  <c r="P409" i="8"/>
  <c r="O409" i="8"/>
  <c r="N407" i="8"/>
  <c r="M407" i="8"/>
  <c r="P407" i="8" s="1"/>
  <c r="L407" i="8"/>
  <c r="P406" i="8"/>
  <c r="O406" i="8"/>
  <c r="P403" i="8"/>
  <c r="O403" i="8"/>
  <c r="N403" i="8"/>
  <c r="M403" i="8"/>
  <c r="L403" i="8"/>
  <c r="J401" i="8"/>
  <c r="I401" i="8"/>
  <c r="K401" i="8" s="1"/>
  <c r="K400" i="8"/>
  <c r="K399" i="8"/>
  <c r="N397" i="8"/>
  <c r="N395" i="8" s="1"/>
  <c r="M397" i="8"/>
  <c r="P397" i="8" s="1"/>
  <c r="L397" i="8"/>
  <c r="P396" i="8"/>
  <c r="O396" i="8"/>
  <c r="N394" i="8"/>
  <c r="N392" i="8" s="1"/>
  <c r="M394" i="8"/>
  <c r="L394" i="8"/>
  <c r="P393" i="8"/>
  <c r="O393" i="8"/>
  <c r="N390" i="8"/>
  <c r="M390" i="8"/>
  <c r="P390" i="8" s="1"/>
  <c r="L390" i="8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5" i="8" s="1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N351" i="8" s="1"/>
  <c r="M353" i="8"/>
  <c r="M351" i="8" s="1"/>
  <c r="L353" i="8"/>
  <c r="P352" i="8"/>
  <c r="O352" i="8"/>
  <c r="N350" i="8"/>
  <c r="M350" i="8"/>
  <c r="L350" i="8"/>
  <c r="L348" i="8" s="1"/>
  <c r="P349" i="8"/>
  <c r="O349" i="8"/>
  <c r="P346" i="8"/>
  <c r="N346" i="8"/>
  <c r="M346" i="8"/>
  <c r="L346" i="8"/>
  <c r="J343" i="8"/>
  <c r="J342" i="8"/>
  <c r="J341" i="8"/>
  <c r="J340" i="8"/>
  <c r="I340" i="8"/>
  <c r="J338" i="8"/>
  <c r="I338" i="8"/>
  <c r="N336" i="8"/>
  <c r="N334" i="8" s="1"/>
  <c r="M336" i="8"/>
  <c r="L336" i="8"/>
  <c r="L334" i="8" s="1"/>
  <c r="O334" i="8" s="1"/>
  <c r="P335" i="8"/>
  <c r="O335" i="8"/>
  <c r="N333" i="8"/>
  <c r="M333" i="8"/>
  <c r="M331" i="8" s="1"/>
  <c r="L333" i="8"/>
  <c r="P332" i="8"/>
  <c r="O332" i="8"/>
  <c r="N329" i="8"/>
  <c r="M329" i="8"/>
  <c r="P329" i="8" s="1"/>
  <c r="L329" i="8"/>
  <c r="O329" i="8" s="1"/>
  <c r="I327" i="8"/>
  <c r="I325" i="8"/>
  <c r="K325" i="8" s="1"/>
  <c r="N323" i="8"/>
  <c r="N321" i="8" s="1"/>
  <c r="M323" i="8"/>
  <c r="M321" i="8" s="1"/>
  <c r="P321" i="8" s="1"/>
  <c r="L323" i="8"/>
  <c r="O323" i="8" s="1"/>
  <c r="P322" i="8"/>
  <c r="O322" i="8"/>
  <c r="N320" i="8"/>
  <c r="N318" i="8" s="1"/>
  <c r="M320" i="8"/>
  <c r="M318" i="8" s="1"/>
  <c r="P318" i="8" s="1"/>
  <c r="L320" i="8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N306" i="8"/>
  <c r="M306" i="8"/>
  <c r="P306" i="8" s="1"/>
  <c r="L306" i="8"/>
  <c r="P305" i="8"/>
  <c r="O305" i="8"/>
  <c r="N303" i="8"/>
  <c r="N301" i="8" s="1"/>
  <c r="M303" i="8"/>
  <c r="L303" i="8"/>
  <c r="P302" i="8"/>
  <c r="O302" i="8"/>
  <c r="P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K287" i="8" s="1"/>
  <c r="N285" i="8"/>
  <c r="M285" i="8"/>
  <c r="L285" i="8"/>
  <c r="O285" i="8" s="1"/>
  <c r="P284" i="8"/>
  <c r="O284" i="8"/>
  <c r="N282" i="8"/>
  <c r="N280" i="8" s="1"/>
  <c r="M282" i="8"/>
  <c r="L282" i="8"/>
  <c r="L280" i="8" s="1"/>
  <c r="P281" i="8"/>
  <c r="O281" i="8"/>
  <c r="N278" i="8"/>
  <c r="M278" i="8"/>
  <c r="L278" i="8"/>
  <c r="O278" i="8" s="1"/>
  <c r="J276" i="8"/>
  <c r="I271" i="8"/>
  <c r="K271" i="8" s="1"/>
  <c r="N269" i="8"/>
  <c r="N267" i="8" s="1"/>
  <c r="M269" i="8"/>
  <c r="P269" i="8" s="1"/>
  <c r="L269" i="8"/>
  <c r="P268" i="8"/>
  <c r="O268" i="8"/>
  <c r="N266" i="8"/>
  <c r="N264" i="8" s="1"/>
  <c r="M266" i="8"/>
  <c r="L266" i="8"/>
  <c r="P265" i="8"/>
  <c r="O265" i="8"/>
  <c r="P262" i="8"/>
  <c r="N262" i="8"/>
  <c r="M262" i="8"/>
  <c r="L262" i="8"/>
  <c r="J260" i="8"/>
  <c r="K258" i="8"/>
  <c r="K257" i="8"/>
  <c r="I255" i="8"/>
  <c r="L253" i="8"/>
  <c r="L252" i="8"/>
  <c r="L251" i="8"/>
  <c r="L250" i="8"/>
  <c r="P249" i="8"/>
  <c r="N249" i="8"/>
  <c r="N227" i="8" s="1"/>
  <c r="J248" i="8"/>
  <c r="K247" i="8"/>
  <c r="K246" i="8"/>
  <c r="I244" i="8"/>
  <c r="K244" i="8" s="1"/>
  <c r="L242" i="8"/>
  <c r="L241" i="8"/>
  <c r="L240" i="8"/>
  <c r="L239" i="8"/>
  <c r="P238" i="8"/>
  <c r="N238" i="8"/>
  <c r="J237" i="8"/>
  <c r="J226" i="8" s="1"/>
  <c r="J180" i="8" s="1"/>
  <c r="K236" i="8"/>
  <c r="J236" i="8"/>
  <c r="I236" i="8"/>
  <c r="K235" i="8"/>
  <c r="J235" i="8"/>
  <c r="I235" i="8"/>
  <c r="J233" i="8"/>
  <c r="N231" i="8"/>
  <c r="N230" i="8"/>
  <c r="N229" i="8"/>
  <c r="N228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M187" i="8" s="1"/>
  <c r="P187" i="8" s="1"/>
  <c r="L189" i="8"/>
  <c r="O189" i="8" s="1"/>
  <c r="P188" i="8"/>
  <c r="O188" i="8"/>
  <c r="N186" i="8"/>
  <c r="M186" i="8"/>
  <c r="L186" i="8"/>
  <c r="L184" i="8" s="1"/>
  <c r="P185" i="8"/>
  <c r="O185" i="8"/>
  <c r="P182" i="8"/>
  <c r="O182" i="8"/>
  <c r="N182" i="8"/>
  <c r="M182" i="8"/>
  <c r="L182" i="8"/>
  <c r="J177" i="8"/>
  <c r="J164" i="8" s="1"/>
  <c r="I176" i="8"/>
  <c r="K176" i="8" s="1"/>
  <c r="J174" i="8"/>
  <c r="N173" i="8"/>
  <c r="N171" i="8" s="1"/>
  <c r="M173" i="8"/>
  <c r="M171" i="8" s="1"/>
  <c r="P171" i="8" s="1"/>
  <c r="L173" i="8"/>
  <c r="O173" i="8" s="1"/>
  <c r="P172" i="8"/>
  <c r="O172" i="8"/>
  <c r="N170" i="8"/>
  <c r="M170" i="8"/>
  <c r="M168" i="8" s="1"/>
  <c r="P168" i="8" s="1"/>
  <c r="L170" i="8"/>
  <c r="O170" i="8" s="1"/>
  <c r="P169" i="8"/>
  <c r="O169" i="8"/>
  <c r="P166" i="8"/>
  <c r="O166" i="8"/>
  <c r="N166" i="8"/>
  <c r="M166" i="8"/>
  <c r="L166" i="8"/>
  <c r="I159" i="8"/>
  <c r="I148" i="8" s="1"/>
  <c r="K148" i="8" s="1"/>
  <c r="N157" i="8"/>
  <c r="N155" i="8" s="1"/>
  <c r="M157" i="8"/>
  <c r="L157" i="8"/>
  <c r="P156" i="8"/>
  <c r="O156" i="8"/>
  <c r="N154" i="8"/>
  <c r="N152" i="8" s="1"/>
  <c r="M154" i="8"/>
  <c r="P154" i="8" s="1"/>
  <c r="L154" i="8"/>
  <c r="P153" i="8"/>
  <c r="O153" i="8"/>
  <c r="N150" i="8"/>
  <c r="M150" i="8"/>
  <c r="P150" i="8" s="1"/>
  <c r="L150" i="8"/>
  <c r="J148" i="8"/>
  <c r="I146" i="8"/>
  <c r="I130" i="8" s="1"/>
  <c r="K130" i="8" s="1"/>
  <c r="I145" i="8"/>
  <c r="I144" i="8"/>
  <c r="K144" i="8" s="1"/>
  <c r="N140" i="8"/>
  <c r="N138" i="8" s="1"/>
  <c r="M140" i="8"/>
  <c r="P140" i="8" s="1"/>
  <c r="L140" i="8"/>
  <c r="L138" i="8" s="1"/>
  <c r="O138" i="8" s="1"/>
  <c r="P139" i="8"/>
  <c r="O139" i="8"/>
  <c r="N137" i="8"/>
  <c r="M137" i="8"/>
  <c r="P137" i="8" s="1"/>
  <c r="L137" i="8"/>
  <c r="O137" i="8" s="1"/>
  <c r="P136" i="8"/>
  <c r="O136" i="8"/>
  <c r="O133" i="8"/>
  <c r="N133" i="8"/>
  <c r="M133" i="8"/>
  <c r="P133" i="8" s="1"/>
  <c r="L133" i="8"/>
  <c r="J130" i="8"/>
  <c r="N127" i="8"/>
  <c r="N125" i="8" s="1"/>
  <c r="M127" i="8"/>
  <c r="P127" i="8" s="1"/>
  <c r="L127" i="8"/>
  <c r="P126" i="8"/>
  <c r="O126" i="8"/>
  <c r="N124" i="8"/>
  <c r="N122" i="8" s="1"/>
  <c r="M124" i="8"/>
  <c r="P124" i="8" s="1"/>
  <c r="L124" i="8"/>
  <c r="P123" i="8"/>
  <c r="O123" i="8"/>
  <c r="N120" i="8"/>
  <c r="M120" i="8"/>
  <c r="P120" i="8" s="1"/>
  <c r="L120" i="8"/>
  <c r="J118" i="8"/>
  <c r="K118" i="8" s="1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J99" i="8"/>
  <c r="I99" i="8"/>
  <c r="K99" i="8" s="1"/>
  <c r="J98" i="8"/>
  <c r="J86" i="8" s="1"/>
  <c r="I98" i="8"/>
  <c r="I86" i="8" s="1"/>
  <c r="N96" i="8"/>
  <c r="N94" i="8" s="1"/>
  <c r="M96" i="8"/>
  <c r="P96" i="8" s="1"/>
  <c r="L96" i="8"/>
  <c r="P95" i="8"/>
  <c r="O95" i="8"/>
  <c r="N93" i="8"/>
  <c r="N91" i="8" s="1"/>
  <c r="M93" i="8"/>
  <c r="L93" i="8"/>
  <c r="P92" i="8"/>
  <c r="O92" i="8"/>
  <c r="P89" i="8"/>
  <c r="N89" i="8"/>
  <c r="M89" i="8"/>
  <c r="L89" i="8"/>
  <c r="J87" i="8"/>
  <c r="I84" i="8"/>
  <c r="K84" i="8" s="1"/>
  <c r="I83" i="8"/>
  <c r="K83" i="8" s="1"/>
  <c r="I82" i="8"/>
  <c r="K82" i="8" s="1"/>
  <c r="I81" i="8"/>
  <c r="I80" i="8"/>
  <c r="K80" i="8" s="1"/>
  <c r="I79" i="8"/>
  <c r="K79" i="8" s="1"/>
  <c r="I78" i="8"/>
  <c r="J77" i="8"/>
  <c r="J76" i="8"/>
  <c r="J64" i="8" s="1"/>
  <c r="N74" i="8"/>
  <c r="M74" i="8"/>
  <c r="P74" i="8" s="1"/>
  <c r="L74" i="8"/>
  <c r="O74" i="8" s="1"/>
  <c r="P73" i="8"/>
  <c r="O73" i="8"/>
  <c r="N71" i="8"/>
  <c r="N69" i="8" s="1"/>
  <c r="M71" i="8"/>
  <c r="P71" i="8" s="1"/>
  <c r="L71" i="8"/>
  <c r="O71" i="8" s="1"/>
  <c r="P70" i="8"/>
  <c r="O70" i="8"/>
  <c r="P67" i="8"/>
  <c r="O67" i="8"/>
  <c r="N67" i="8"/>
  <c r="M67" i="8"/>
  <c r="L67" i="8"/>
  <c r="J65" i="8"/>
  <c r="N61" i="8"/>
  <c r="N59" i="8" s="1"/>
  <c r="M61" i="8"/>
  <c r="P61" i="8" s="1"/>
  <c r="L61" i="8"/>
  <c r="O61" i="8" s="1"/>
  <c r="P60" i="8"/>
  <c r="O60" i="8"/>
  <c r="N58" i="8"/>
  <c r="N56" i="8" s="1"/>
  <c r="M58" i="8"/>
  <c r="L58" i="8"/>
  <c r="L56" i="8" s="1"/>
  <c r="P57" i="8"/>
  <c r="O57" i="8"/>
  <c r="N54" i="8"/>
  <c r="M54" i="8"/>
  <c r="P54" i="8" s="1"/>
  <c r="L54" i="8"/>
  <c r="O54" i="8" s="1"/>
  <c r="N49" i="8"/>
  <c r="N47" i="8" s="1"/>
  <c r="M49" i="8"/>
  <c r="P49" i="8" s="1"/>
  <c r="L49" i="8"/>
  <c r="O49" i="8" s="1"/>
  <c r="P48" i="8"/>
  <c r="O48" i="8"/>
  <c r="N46" i="8"/>
  <c r="N44" i="8" s="1"/>
  <c r="M46" i="8"/>
  <c r="L46" i="8"/>
  <c r="P45" i="8"/>
  <c r="O45" i="8"/>
  <c r="P42" i="8"/>
  <c r="N42" i="8"/>
  <c r="M42" i="8"/>
  <c r="L42" i="8"/>
  <c r="O42" i="8" s="1"/>
  <c r="N36" i="8"/>
  <c r="N34" i="8" s="1"/>
  <c r="M36" i="8"/>
  <c r="P36" i="8" s="1"/>
  <c r="P35" i="8"/>
  <c r="N35" i="8"/>
  <c r="M35" i="8"/>
  <c r="L35" i="8"/>
  <c r="O35" i="8" s="1"/>
  <c r="N33" i="8"/>
  <c r="N30" i="8" s="1"/>
  <c r="N32" i="8"/>
  <c r="M32" i="8"/>
  <c r="P32" i="8" s="1"/>
  <c r="L32" i="8"/>
  <c r="O32" i="8" s="1"/>
  <c r="N29" i="8"/>
  <c r="N28" i="8" s="1"/>
  <c r="N25" i="8"/>
  <c r="M25" i="8"/>
  <c r="P25" i="8" s="1"/>
  <c r="L25" i="8"/>
  <c r="O25" i="8" s="1"/>
  <c r="P22" i="8"/>
  <c r="O22" i="8"/>
  <c r="N22" i="8"/>
  <c r="N19" i="8" s="1"/>
  <c r="M22" i="8"/>
  <c r="L22" i="8"/>
  <c r="M19" i="8"/>
  <c r="P19" i="8" s="1"/>
  <c r="L19" i="8"/>
  <c r="O19" i="8" s="1"/>
  <c r="N15" i="8"/>
  <c r="M12" i="8"/>
  <c r="P12" i="8" s="1"/>
  <c r="L12" i="8"/>
  <c r="O12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L791" i="7"/>
  <c r="O791" i="7" s="1"/>
  <c r="P790" i="7"/>
  <c r="O790" i="7"/>
  <c r="P789" i="7"/>
  <c r="N789" i="7"/>
  <c r="M789" i="7"/>
  <c r="M788" i="7"/>
  <c r="P787" i="7"/>
  <c r="N787" i="7"/>
  <c r="N786" i="7" s="1"/>
  <c r="M787" i="7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L690" i="7"/>
  <c r="O690" i="7" s="1"/>
  <c r="P688" i="7"/>
  <c r="N688" i="7"/>
  <c r="M688" i="7"/>
  <c r="M687" i="7"/>
  <c r="P686" i="7"/>
  <c r="N686" i="7"/>
  <c r="N685" i="7" s="1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I669" i="7"/>
  <c r="K674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L658" i="7" s="1"/>
  <c r="O658" i="7" s="1"/>
  <c r="P659" i="7"/>
  <c r="O659" i="7"/>
  <c r="N658" i="7"/>
  <c r="M658" i="7"/>
  <c r="P658" i="7" s="1"/>
  <c r="P657" i="7"/>
  <c r="N657" i="7"/>
  <c r="M657" i="7"/>
  <c r="O656" i="7"/>
  <c r="N656" i="7"/>
  <c r="M656" i="7"/>
  <c r="M655" i="7" s="1"/>
  <c r="P655" i="7" s="1"/>
  <c r="L656" i="7"/>
  <c r="N655" i="7"/>
  <c r="J654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N638" i="7"/>
  <c r="N637" i="7"/>
  <c r="N634" i="7" s="1"/>
  <c r="L634" i="7"/>
  <c r="L632" i="7" s="1"/>
  <c r="P633" i="7"/>
  <c r="O633" i="7"/>
  <c r="P630" i="7"/>
  <c r="N630" i="7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4" i="7"/>
  <c r="I594" i="7"/>
  <c r="I593" i="7"/>
  <c r="I592" i="7" s="1"/>
  <c r="J583" i="7"/>
  <c r="J577" i="7" s="1"/>
  <c r="J582" i="7"/>
  <c r="I577" i="7"/>
  <c r="K577" i="7" s="1"/>
  <c r="J576" i="7"/>
  <c r="J559" i="7" s="1"/>
  <c r="J543" i="7" s="1"/>
  <c r="I576" i="7"/>
  <c r="K576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M555" i="7"/>
  <c r="L555" i="7"/>
  <c r="O555" i="7" s="1"/>
  <c r="N553" i="7"/>
  <c r="N552" i="7"/>
  <c r="N549" i="7" s="1"/>
  <c r="L549" i="7"/>
  <c r="L547" i="7" s="1"/>
  <c r="P548" i="7"/>
  <c r="O548" i="7"/>
  <c r="P545" i="7"/>
  <c r="N545" i="7"/>
  <c r="M545" i="7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22" i="7" s="1"/>
  <c r="K522" i="7" s="1"/>
  <c r="P535" i="7"/>
  <c r="L535" i="7"/>
  <c r="O535" i="7" s="1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P526" i="7"/>
  <c r="N526" i="7"/>
  <c r="M526" i="7"/>
  <c r="M525" i="7"/>
  <c r="P524" i="7"/>
  <c r="N524" i="7"/>
  <c r="N523" i="7" s="1"/>
  <c r="M524" i="7"/>
  <c r="L524" i="7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P506" i="7"/>
  <c r="O506" i="7"/>
  <c r="P505" i="7"/>
  <c r="O505" i="7"/>
  <c r="N505" i="7"/>
  <c r="M505" i="7"/>
  <c r="L505" i="7"/>
  <c r="O504" i="7"/>
  <c r="N504" i="7"/>
  <c r="M504" i="7"/>
  <c r="P504" i="7" s="1"/>
  <c r="L504" i="7"/>
  <c r="N503" i="7"/>
  <c r="M503" i="7"/>
  <c r="L503" i="7"/>
  <c r="O503" i="7" s="1"/>
  <c r="O502" i="7"/>
  <c r="L502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P477" i="7"/>
  <c r="N477" i="7"/>
  <c r="M477" i="7"/>
  <c r="N474" i="7"/>
  <c r="N472" i="7" s="1"/>
  <c r="L472" i="7"/>
  <c r="L470" i="7" s="1"/>
  <c r="P471" i="7"/>
  <c r="O471" i="7"/>
  <c r="P468" i="7"/>
  <c r="O468" i="7"/>
  <c r="N468" i="7"/>
  <c r="M468" i="7"/>
  <c r="L468" i="7"/>
  <c r="J466" i="7"/>
  <c r="I466" i="7"/>
  <c r="K466" i="7" s="1"/>
  <c r="J465" i="7"/>
  <c r="I465" i="7"/>
  <c r="K465" i="7" s="1"/>
  <c r="I464" i="7"/>
  <c r="I463" i="7"/>
  <c r="I462" i="7"/>
  <c r="I460" i="7"/>
  <c r="K460" i="7" s="1"/>
  <c r="K458" i="7"/>
  <c r="P456" i="7"/>
  <c r="L456" i="7"/>
  <c r="L454" i="7" s="1"/>
  <c r="O454" i="7" s="1"/>
  <c r="P455" i="7"/>
  <c r="O455" i="7"/>
  <c r="P454" i="7"/>
  <c r="N454" i="7"/>
  <c r="M454" i="7"/>
  <c r="P449" i="7"/>
  <c r="N449" i="7"/>
  <c r="L449" i="7"/>
  <c r="L447" i="7" s="1"/>
  <c r="O447" i="7" s="1"/>
  <c r="P448" i="7"/>
  <c r="O448" i="7"/>
  <c r="N447" i="7"/>
  <c r="M447" i="7"/>
  <c r="P447" i="7" s="1"/>
  <c r="N446" i="7"/>
  <c r="N444" i="7" s="1"/>
  <c r="M446" i="7"/>
  <c r="P446" i="7" s="1"/>
  <c r="O445" i="7"/>
  <c r="N445" i="7"/>
  <c r="M445" i="7"/>
  <c r="L445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I433" i="7" s="1"/>
  <c r="I417" i="7" s="1"/>
  <c r="J434" i="7"/>
  <c r="P431" i="7"/>
  <c r="L431" i="7"/>
  <c r="L429" i="7" s="1"/>
  <c r="O429" i="7" s="1"/>
  <c r="P430" i="7"/>
  <c r="O430" i="7"/>
  <c r="P429" i="7"/>
  <c r="N429" i="7"/>
  <c r="M429" i="7"/>
  <c r="N424" i="7"/>
  <c r="N421" i="7" s="1"/>
  <c r="L424" i="7"/>
  <c r="O424" i="7" s="1"/>
  <c r="P423" i="7"/>
  <c r="O423" i="7"/>
  <c r="N420" i="7"/>
  <c r="M420" i="7"/>
  <c r="L420" i="7"/>
  <c r="O420" i="7" s="1"/>
  <c r="J418" i="7"/>
  <c r="K413" i="7"/>
  <c r="K412" i="7"/>
  <c r="N410" i="7"/>
  <c r="N408" i="7" s="1"/>
  <c r="M410" i="7"/>
  <c r="P410" i="7" s="1"/>
  <c r="L410" i="7"/>
  <c r="O410" i="7" s="1"/>
  <c r="P409" i="7"/>
  <c r="O409" i="7"/>
  <c r="N407" i="7"/>
  <c r="M407" i="7"/>
  <c r="L407" i="7"/>
  <c r="L405" i="7" s="1"/>
  <c r="O405" i="7" s="1"/>
  <c r="P406" i="7"/>
  <c r="O406" i="7"/>
  <c r="P403" i="7"/>
  <c r="N403" i="7"/>
  <c r="M403" i="7"/>
  <c r="L403" i="7"/>
  <c r="J401" i="7"/>
  <c r="I401" i="7"/>
  <c r="K401" i="7" s="1"/>
  <c r="K400" i="7"/>
  <c r="K399" i="7"/>
  <c r="N397" i="7"/>
  <c r="N395" i="7" s="1"/>
  <c r="M397" i="7"/>
  <c r="L397" i="7"/>
  <c r="O397" i="7" s="1"/>
  <c r="P396" i="7"/>
  <c r="O396" i="7"/>
  <c r="N394" i="7"/>
  <c r="M394" i="7"/>
  <c r="P394" i="7" s="1"/>
  <c r="L394" i="7"/>
  <c r="P393" i="7"/>
  <c r="O393" i="7"/>
  <c r="P390" i="7"/>
  <c r="N390" i="7"/>
  <c r="M390" i="7"/>
  <c r="L390" i="7"/>
  <c r="O390" i="7" s="1"/>
  <c r="K388" i="7"/>
  <c r="J388" i="7"/>
  <c r="I388" i="7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L353" i="7"/>
  <c r="P352" i="7"/>
  <c r="O352" i="7"/>
  <c r="N350" i="7"/>
  <c r="M350" i="7"/>
  <c r="M348" i="7" s="1"/>
  <c r="L350" i="7"/>
  <c r="P349" i="7"/>
  <c r="O349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L336" i="7"/>
  <c r="O336" i="7" s="1"/>
  <c r="P335" i="7"/>
  <c r="O335" i="7"/>
  <c r="N333" i="7"/>
  <c r="N331" i="7" s="1"/>
  <c r="M333" i="7"/>
  <c r="L333" i="7"/>
  <c r="P332" i="7"/>
  <c r="O332" i="7"/>
  <c r="P329" i="7"/>
  <c r="N329" i="7"/>
  <c r="M329" i="7"/>
  <c r="L329" i="7"/>
  <c r="I327" i="7"/>
  <c r="I325" i="7"/>
  <c r="K325" i="7" s="1"/>
  <c r="N323" i="7"/>
  <c r="N321" i="7" s="1"/>
  <c r="M323" i="7"/>
  <c r="M321" i="7" s="1"/>
  <c r="P321" i="7" s="1"/>
  <c r="L323" i="7"/>
  <c r="O323" i="7" s="1"/>
  <c r="P322" i="7"/>
  <c r="O322" i="7"/>
  <c r="N320" i="7"/>
  <c r="N318" i="7" s="1"/>
  <c r="M320" i="7"/>
  <c r="M318" i="7" s="1"/>
  <c r="P318" i="7" s="1"/>
  <c r="L320" i="7"/>
  <c r="P319" i="7"/>
  <c r="O319" i="7"/>
  <c r="P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O306" i="7" s="1"/>
  <c r="P305" i="7"/>
  <c r="O305" i="7"/>
  <c r="N303" i="7"/>
  <c r="M303" i="7"/>
  <c r="P303" i="7" s="1"/>
  <c r="L303" i="7"/>
  <c r="P302" i="7"/>
  <c r="O302" i="7"/>
  <c r="P299" i="7"/>
  <c r="N299" i="7"/>
  <c r="M299" i="7"/>
  <c r="L299" i="7"/>
  <c r="O299" i="7" s="1"/>
  <c r="J297" i="7"/>
  <c r="I294" i="7"/>
  <c r="K294" i="7" s="1"/>
  <c r="I293" i="7"/>
  <c r="K293" i="7" s="1"/>
  <c r="I291" i="7"/>
  <c r="K291" i="7" s="1"/>
  <c r="I290" i="7"/>
  <c r="K290" i="7" s="1"/>
  <c r="I288" i="7"/>
  <c r="I275" i="7" s="1"/>
  <c r="K275" i="7" s="1"/>
  <c r="I287" i="7"/>
  <c r="K287" i="7" s="1"/>
  <c r="N285" i="7"/>
  <c r="N283" i="7" s="1"/>
  <c r="M285" i="7"/>
  <c r="P285" i="7" s="1"/>
  <c r="L285" i="7"/>
  <c r="P284" i="7"/>
  <c r="O284" i="7"/>
  <c r="N282" i="7"/>
  <c r="N280" i="7" s="1"/>
  <c r="M282" i="7"/>
  <c r="P282" i="7" s="1"/>
  <c r="L282" i="7"/>
  <c r="P281" i="7"/>
  <c r="O281" i="7"/>
  <c r="O278" i="7"/>
  <c r="N278" i="7"/>
  <c r="M278" i="7"/>
  <c r="P278" i="7" s="1"/>
  <c r="L278" i="7"/>
  <c r="J276" i="7"/>
  <c r="I271" i="7"/>
  <c r="K271" i="7" s="1"/>
  <c r="N269" i="7"/>
  <c r="N267" i="7" s="1"/>
  <c r="M269" i="7"/>
  <c r="P269" i="7" s="1"/>
  <c r="L269" i="7"/>
  <c r="O269" i="7" s="1"/>
  <c r="P268" i="7"/>
  <c r="O268" i="7"/>
  <c r="N266" i="7"/>
  <c r="M266" i="7"/>
  <c r="L266" i="7"/>
  <c r="P265" i="7"/>
  <c r="O265" i="7"/>
  <c r="P262" i="7"/>
  <c r="N262" i="7"/>
  <c r="M262" i="7"/>
  <c r="L262" i="7"/>
  <c r="O262" i="7" s="1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J226" i="7" s="1"/>
  <c r="J180" i="7" s="1"/>
  <c r="K247" i="7"/>
  <c r="K246" i="7"/>
  <c r="I244" i="7"/>
  <c r="I237" i="7" s="1"/>
  <c r="K237" i="7" s="1"/>
  <c r="L242" i="7"/>
  <c r="L241" i="7"/>
  <c r="L240" i="7"/>
  <c r="L239" i="7"/>
  <c r="P238" i="7"/>
  <c r="N238" i="7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N227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L189" i="7"/>
  <c r="L187" i="7" s="1"/>
  <c r="O187" i="7" s="1"/>
  <c r="P188" i="7"/>
  <c r="O188" i="7"/>
  <c r="N186" i="7"/>
  <c r="N184" i="7" s="1"/>
  <c r="M186" i="7"/>
  <c r="L186" i="7"/>
  <c r="P185" i="7"/>
  <c r="O185" i="7"/>
  <c r="P182" i="7"/>
  <c r="N182" i="7"/>
  <c r="M182" i="7"/>
  <c r="L182" i="7"/>
  <c r="J177" i="7"/>
  <c r="I176" i="7"/>
  <c r="K176" i="7" s="1"/>
  <c r="J174" i="7"/>
  <c r="J164" i="7" s="1"/>
  <c r="N173" i="7"/>
  <c r="N171" i="7" s="1"/>
  <c r="M173" i="7"/>
  <c r="P173" i="7" s="1"/>
  <c r="L173" i="7"/>
  <c r="P172" i="7"/>
  <c r="O172" i="7"/>
  <c r="N170" i="7"/>
  <c r="M170" i="7"/>
  <c r="L170" i="7"/>
  <c r="L168" i="7" s="1"/>
  <c r="P169" i="7"/>
  <c r="O169" i="7"/>
  <c r="P166" i="7"/>
  <c r="N166" i="7"/>
  <c r="M166" i="7"/>
  <c r="L166" i="7"/>
  <c r="I159" i="7"/>
  <c r="K159" i="7" s="1"/>
  <c r="N157" i="7"/>
  <c r="N155" i="7" s="1"/>
  <c r="M157" i="7"/>
  <c r="L157" i="7"/>
  <c r="O157" i="7" s="1"/>
  <c r="P156" i="7"/>
  <c r="O156" i="7"/>
  <c r="N154" i="7"/>
  <c r="M154" i="7"/>
  <c r="L154" i="7"/>
  <c r="O154" i="7" s="1"/>
  <c r="P153" i="7"/>
  <c r="O153" i="7"/>
  <c r="N150" i="7"/>
  <c r="M150" i="7"/>
  <c r="L150" i="7"/>
  <c r="O150" i="7" s="1"/>
  <c r="J148" i="7"/>
  <c r="I146" i="7"/>
  <c r="K146" i="7" s="1"/>
  <c r="I145" i="7"/>
  <c r="K145" i="7" s="1"/>
  <c r="I144" i="7"/>
  <c r="K144" i="7" s="1"/>
  <c r="N140" i="7"/>
  <c r="N138" i="7" s="1"/>
  <c r="M140" i="7"/>
  <c r="P140" i="7" s="1"/>
  <c r="L140" i="7"/>
  <c r="O140" i="7" s="1"/>
  <c r="P139" i="7"/>
  <c r="O139" i="7"/>
  <c r="N137" i="7"/>
  <c r="N135" i="7" s="1"/>
  <c r="M137" i="7"/>
  <c r="P137" i="7" s="1"/>
  <c r="L137" i="7"/>
  <c r="O137" i="7" s="1"/>
  <c r="P136" i="7"/>
  <c r="O136" i="7"/>
  <c r="P133" i="7"/>
  <c r="O133" i="7"/>
  <c r="N133" i="7"/>
  <c r="M133" i="7"/>
  <c r="L133" i="7"/>
  <c r="J130" i="7"/>
  <c r="N127" i="7"/>
  <c r="M127" i="7"/>
  <c r="L127" i="7"/>
  <c r="O127" i="7" s="1"/>
  <c r="P126" i="7"/>
  <c r="O126" i="7"/>
  <c r="N124" i="7"/>
  <c r="N122" i="7" s="1"/>
  <c r="M124" i="7"/>
  <c r="L124" i="7"/>
  <c r="L122" i="7" s="1"/>
  <c r="O122" i="7" s="1"/>
  <c r="P123" i="7"/>
  <c r="O123" i="7"/>
  <c r="P120" i="7"/>
  <c r="N120" i="7"/>
  <c r="M120" i="7"/>
  <c r="L120" i="7"/>
  <c r="O120" i="7" s="1"/>
  <c r="I116" i="7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K99" i="7" s="1"/>
  <c r="J98" i="7"/>
  <c r="I98" i="7"/>
  <c r="I86" i="7" s="1"/>
  <c r="K86" i="7" s="1"/>
  <c r="N96" i="7"/>
  <c r="M96" i="7"/>
  <c r="L96" i="7"/>
  <c r="O96" i="7" s="1"/>
  <c r="P95" i="7"/>
  <c r="O95" i="7"/>
  <c r="N93" i="7"/>
  <c r="N91" i="7" s="1"/>
  <c r="M93" i="7"/>
  <c r="M91" i="7" s="1"/>
  <c r="L93" i="7"/>
  <c r="P92" i="7"/>
  <c r="O92" i="7"/>
  <c r="P89" i="7"/>
  <c r="N89" i="7"/>
  <c r="M89" i="7"/>
  <c r="L89" i="7"/>
  <c r="J87" i="7"/>
  <c r="J86" i="7"/>
  <c r="I84" i="7"/>
  <c r="K84" i="7" s="1"/>
  <c r="I83" i="7"/>
  <c r="K83" i="7" s="1"/>
  <c r="I82" i="7"/>
  <c r="K82" i="7" s="1"/>
  <c r="I81" i="7"/>
  <c r="K81" i="7" s="1"/>
  <c r="I80" i="7"/>
  <c r="K80" i="7" s="1"/>
  <c r="I79" i="7"/>
  <c r="I78" i="7"/>
  <c r="J77" i="7"/>
  <c r="J76" i="7"/>
  <c r="J64" i="7" s="1"/>
  <c r="N74" i="7"/>
  <c r="N72" i="7" s="1"/>
  <c r="M74" i="7"/>
  <c r="P74" i="7" s="1"/>
  <c r="L74" i="7"/>
  <c r="O74" i="7" s="1"/>
  <c r="P73" i="7"/>
  <c r="O73" i="7"/>
  <c r="N71" i="7"/>
  <c r="N69" i="7" s="1"/>
  <c r="M71" i="7"/>
  <c r="P71" i="7" s="1"/>
  <c r="L71" i="7"/>
  <c r="O71" i="7" s="1"/>
  <c r="P70" i="7"/>
  <c r="O70" i="7"/>
  <c r="O67" i="7"/>
  <c r="N67" i="7"/>
  <c r="M67" i="7"/>
  <c r="P67" i="7" s="1"/>
  <c r="L67" i="7"/>
  <c r="J65" i="7"/>
  <c r="N61" i="7"/>
  <c r="M61" i="7"/>
  <c r="M59" i="7" s="1"/>
  <c r="L61" i="7"/>
  <c r="L59" i="7" s="1"/>
  <c r="P60" i="7"/>
  <c r="O60" i="7"/>
  <c r="N58" i="7"/>
  <c r="N56" i="7" s="1"/>
  <c r="M58" i="7"/>
  <c r="M56" i="7" s="1"/>
  <c r="L58" i="7"/>
  <c r="P57" i="7"/>
  <c r="O57" i="7"/>
  <c r="P54" i="7"/>
  <c r="N54" i="7"/>
  <c r="M54" i="7"/>
  <c r="L54" i="7"/>
  <c r="O54" i="7" s="1"/>
  <c r="N49" i="7"/>
  <c r="M49" i="7"/>
  <c r="L49" i="7"/>
  <c r="O49" i="7" s="1"/>
  <c r="P48" i="7"/>
  <c r="O48" i="7"/>
  <c r="N46" i="7"/>
  <c r="M46" i="7"/>
  <c r="M44" i="7" s="1"/>
  <c r="L46" i="7"/>
  <c r="L44" i="7" s="1"/>
  <c r="P45" i="7"/>
  <c r="O45" i="7"/>
  <c r="O42" i="7"/>
  <c r="N42" i="7"/>
  <c r="M42" i="7"/>
  <c r="L42" i="7"/>
  <c r="P36" i="7"/>
  <c r="N36" i="7"/>
  <c r="M36" i="7"/>
  <c r="N35" i="7"/>
  <c r="N15" i="7" s="1"/>
  <c r="M35" i="7"/>
  <c r="P35" i="7" s="1"/>
  <c r="L35" i="7"/>
  <c r="O35" i="7" s="1"/>
  <c r="N34" i="7"/>
  <c r="P32" i="7"/>
  <c r="O32" i="7"/>
  <c r="N32" i="7"/>
  <c r="M32" i="7"/>
  <c r="L32" i="7"/>
  <c r="N29" i="7"/>
  <c r="L29" i="7"/>
  <c r="O29" i="7" s="1"/>
  <c r="P25" i="7"/>
  <c r="O25" i="7"/>
  <c r="N25" i="7"/>
  <c r="M25" i="7"/>
  <c r="L25" i="7"/>
  <c r="N22" i="7"/>
  <c r="N19" i="7" s="1"/>
  <c r="M22" i="7"/>
  <c r="L22" i="7"/>
  <c r="O22" i="7" s="1"/>
  <c r="O19" i="7"/>
  <c r="L19" i="7"/>
  <c r="O15" i="7"/>
  <c r="M15" i="7"/>
  <c r="P15" i="7" s="1"/>
  <c r="L15" i="7"/>
  <c r="L12" i="7"/>
  <c r="L9" i="7"/>
  <c r="O9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O791" i="6" s="1"/>
  <c r="P790" i="6"/>
  <c r="O790" i="6"/>
  <c r="P789" i="6"/>
  <c r="M789" i="6"/>
  <c r="M788" i="6"/>
  <c r="P787" i="6"/>
  <c r="N787" i="6"/>
  <c r="M787" i="6"/>
  <c r="L787" i="6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N773" i="6" s="1"/>
  <c r="P774" i="6"/>
  <c r="O774" i="6"/>
  <c r="O773" i="6"/>
  <c r="M773" i="6"/>
  <c r="P773" i="6" s="1"/>
  <c r="L773" i="6"/>
  <c r="P772" i="6"/>
  <c r="N772" i="6"/>
  <c r="N770" i="6" s="1"/>
  <c r="M772" i="6"/>
  <c r="L772" i="6"/>
  <c r="O772" i="6" s="1"/>
  <c r="O771" i="6"/>
  <c r="N771" i="6"/>
  <c r="M771" i="6"/>
  <c r="L771" i="6"/>
  <c r="L770" i="6"/>
  <c r="O770" i="6" s="1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N757" i="6" s="1"/>
  <c r="P758" i="6"/>
  <c r="O758" i="6"/>
  <c r="O757" i="6"/>
  <c r="M757" i="6"/>
  <c r="P757" i="6" s="1"/>
  <c r="L757" i="6"/>
  <c r="P756" i="6"/>
  <c r="N756" i="6"/>
  <c r="N754" i="6" s="1"/>
  <c r="M756" i="6"/>
  <c r="L756" i="6"/>
  <c r="O756" i="6" s="1"/>
  <c r="O755" i="6"/>
  <c r="N755" i="6"/>
  <c r="M755" i="6"/>
  <c r="L755" i="6"/>
  <c r="L754" i="6"/>
  <c r="O754" i="6" s="1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N740" i="6" s="1"/>
  <c r="P741" i="6"/>
  <c r="O741" i="6"/>
  <c r="O740" i="6"/>
  <c r="M740" i="6"/>
  <c r="P740" i="6" s="1"/>
  <c r="L740" i="6"/>
  <c r="P739" i="6"/>
  <c r="N739" i="6"/>
  <c r="N737" i="6" s="1"/>
  <c r="M739" i="6"/>
  <c r="L739" i="6"/>
  <c r="O739" i="6" s="1"/>
  <c r="O738" i="6"/>
  <c r="N738" i="6"/>
  <c r="M738" i="6"/>
  <c r="L738" i="6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P697" i="6"/>
  <c r="O697" i="6"/>
  <c r="P696" i="6"/>
  <c r="O696" i="6"/>
  <c r="O695" i="6"/>
  <c r="N695" i="6"/>
  <c r="M695" i="6"/>
  <c r="P695" i="6" s="1"/>
  <c r="L695" i="6"/>
  <c r="N690" i="6"/>
  <c r="N688" i="6" s="1"/>
  <c r="L690" i="6"/>
  <c r="O690" i="6" s="1"/>
  <c r="N687" i="6"/>
  <c r="N685" i="6" s="1"/>
  <c r="O686" i="6"/>
  <c r="N686" i="6"/>
  <c r="M686" i="6"/>
  <c r="L686" i="6"/>
  <c r="J679" i="6"/>
  <c r="J678" i="6"/>
  <c r="I678" i="6"/>
  <c r="K678" i="6" s="1"/>
  <c r="J675" i="6"/>
  <c r="J669" i="6" s="1"/>
  <c r="I671" i="6"/>
  <c r="K671" i="6" s="1"/>
  <c r="I670" i="6"/>
  <c r="K670" i="6" s="1"/>
  <c r="I669" i="6"/>
  <c r="K674" i="6" s="1"/>
  <c r="P667" i="6"/>
  <c r="O667" i="6"/>
  <c r="P666" i="6"/>
  <c r="O666" i="6"/>
  <c r="O665" i="6"/>
  <c r="N665" i="6"/>
  <c r="M665" i="6"/>
  <c r="P665" i="6" s="1"/>
  <c r="L665" i="6"/>
  <c r="N660" i="6"/>
  <c r="N658" i="6" s="1"/>
  <c r="L660" i="6"/>
  <c r="P659" i="6"/>
  <c r="O659" i="6"/>
  <c r="N657" i="6"/>
  <c r="O656" i="6"/>
  <c r="N656" i="6"/>
  <c r="M656" i="6"/>
  <c r="P656" i="6" s="1"/>
  <c r="L656" i="6"/>
  <c r="N655" i="6"/>
  <c r="J654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6" i="6"/>
  <c r="N634" i="6"/>
  <c r="N632" i="6" s="1"/>
  <c r="L634" i="6"/>
  <c r="O634" i="6" s="1"/>
  <c r="P633" i="6"/>
  <c r="O633" i="6"/>
  <c r="N631" i="6"/>
  <c r="O630" i="6"/>
  <c r="N630" i="6"/>
  <c r="M630" i="6"/>
  <c r="L630" i="6"/>
  <c r="N629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I594" i="6"/>
  <c r="J593" i="6"/>
  <c r="J592" i="6" s="1"/>
  <c r="I593" i="6"/>
  <c r="K593" i="6" s="1"/>
  <c r="J583" i="6"/>
  <c r="J582" i="6"/>
  <c r="J576" i="6" s="1"/>
  <c r="J559" i="6" s="1"/>
  <c r="J543" i="6" s="1"/>
  <c r="J577" i="6"/>
  <c r="I577" i="6"/>
  <c r="K577" i="6" s="1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O557" i="6" s="1"/>
  <c r="P556" i="6"/>
  <c r="O556" i="6"/>
  <c r="N555" i="6"/>
  <c r="N545" i="6" s="1"/>
  <c r="M555" i="6"/>
  <c r="P555" i="6" s="1"/>
  <c r="N549" i="6"/>
  <c r="N547" i="6" s="1"/>
  <c r="L549" i="6"/>
  <c r="M549" i="6" s="1"/>
  <c r="P548" i="6"/>
  <c r="O548" i="6"/>
  <c r="N546" i="6"/>
  <c r="O545" i="6"/>
  <c r="M545" i="6"/>
  <c r="L545" i="6"/>
  <c r="I542" i="6"/>
  <c r="K542" i="6" s="1"/>
  <c r="I541" i="6"/>
  <c r="K541" i="6" s="1"/>
  <c r="I540" i="6"/>
  <c r="K540" i="6" s="1"/>
  <c r="I539" i="6"/>
  <c r="I538" i="6"/>
  <c r="K538" i="6" s="1"/>
  <c r="I537" i="6"/>
  <c r="I522" i="6" s="1"/>
  <c r="K522" i="6" s="1"/>
  <c r="P535" i="6"/>
  <c r="L535" i="6"/>
  <c r="O535" i="6" s="1"/>
  <c r="P534" i="6"/>
  <c r="O534" i="6"/>
  <c r="P533" i="6"/>
  <c r="N533" i="6"/>
  <c r="M533" i="6"/>
  <c r="P528" i="6"/>
  <c r="N528" i="6"/>
  <c r="L528" i="6"/>
  <c r="P527" i="6"/>
  <c r="O527" i="6"/>
  <c r="N526" i="6"/>
  <c r="M526" i="6"/>
  <c r="P526" i="6" s="1"/>
  <c r="P525" i="6"/>
  <c r="N525" i="6"/>
  <c r="M525" i="6"/>
  <c r="O524" i="6"/>
  <c r="N524" i="6"/>
  <c r="N523" i="6" s="1"/>
  <c r="M524" i="6"/>
  <c r="P524" i="6" s="1"/>
  <c r="L524" i="6"/>
  <c r="P523" i="6"/>
  <c r="M523" i="6"/>
  <c r="K517" i="6"/>
  <c r="J517" i="6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P506" i="6"/>
  <c r="O506" i="6"/>
  <c r="O505" i="6"/>
  <c r="N505" i="6"/>
  <c r="M505" i="6"/>
  <c r="P505" i="6" s="1"/>
  <c r="L505" i="6"/>
  <c r="P504" i="6"/>
  <c r="N504" i="6"/>
  <c r="M504" i="6"/>
  <c r="L504" i="6"/>
  <c r="O504" i="6" s="1"/>
  <c r="O503" i="6"/>
  <c r="N503" i="6"/>
  <c r="M503" i="6"/>
  <c r="M502" i="6" s="1"/>
  <c r="P502" i="6" s="1"/>
  <c r="L503" i="6"/>
  <c r="L502" i="6" s="1"/>
  <c r="O502" i="6" s="1"/>
  <c r="N502" i="6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2" i="6"/>
  <c r="L472" i="6"/>
  <c r="L470" i="6" s="1"/>
  <c r="P471" i="6"/>
  <c r="O471" i="6"/>
  <c r="N469" i="6"/>
  <c r="P468" i="6"/>
  <c r="N468" i="6"/>
  <c r="N467" i="6" s="1"/>
  <c r="M468" i="6"/>
  <c r="L468" i="6"/>
  <c r="O468" i="6" s="1"/>
  <c r="J466" i="6"/>
  <c r="I466" i="6"/>
  <c r="K466" i="6" s="1"/>
  <c r="J465" i="6"/>
  <c r="I465" i="6"/>
  <c r="K465" i="6" s="1"/>
  <c r="I464" i="6"/>
  <c r="I463" i="6"/>
  <c r="I462" i="6"/>
  <c r="K462" i="6" s="1"/>
  <c r="I460" i="6"/>
  <c r="K458" i="6"/>
  <c r="P456" i="6"/>
  <c r="L456" i="6"/>
  <c r="L454" i="6" s="1"/>
  <c r="O454" i="6" s="1"/>
  <c r="P455" i="6"/>
  <c r="O455" i="6"/>
  <c r="P454" i="6"/>
  <c r="N454" i="6"/>
  <c r="M454" i="6"/>
  <c r="P449" i="6"/>
  <c r="N449" i="6"/>
  <c r="L449" i="6"/>
  <c r="P448" i="6"/>
  <c r="O448" i="6"/>
  <c r="P447" i="6"/>
  <c r="N447" i="6"/>
  <c r="M447" i="6"/>
  <c r="P446" i="6"/>
  <c r="N446" i="6"/>
  <c r="M446" i="6"/>
  <c r="O445" i="6"/>
  <c r="N445" i="6"/>
  <c r="M445" i="6"/>
  <c r="P445" i="6" s="1"/>
  <c r="L445" i="6"/>
  <c r="N444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I433" i="6" s="1"/>
  <c r="J434" i="6"/>
  <c r="J418" i="6" s="1"/>
  <c r="P431" i="6"/>
  <c r="L431" i="6"/>
  <c r="O431" i="6" s="1"/>
  <c r="P430" i="6"/>
  <c r="O430" i="6"/>
  <c r="P429" i="6"/>
  <c r="N429" i="6"/>
  <c r="M429" i="6"/>
  <c r="L429" i="6"/>
  <c r="O429" i="6" s="1"/>
  <c r="N424" i="6"/>
  <c r="L424" i="6"/>
  <c r="O424" i="6" s="1"/>
  <c r="P423" i="6"/>
  <c r="O423" i="6"/>
  <c r="N422" i="6"/>
  <c r="N421" i="6"/>
  <c r="P420" i="6"/>
  <c r="N420" i="6"/>
  <c r="N419" i="6" s="1"/>
  <c r="M420" i="6"/>
  <c r="L420" i="6"/>
  <c r="K413" i="6"/>
  <c r="K412" i="6"/>
  <c r="N410" i="6"/>
  <c r="N408" i="6" s="1"/>
  <c r="M410" i="6"/>
  <c r="L410" i="6"/>
  <c r="O410" i="6" s="1"/>
  <c r="P409" i="6"/>
  <c r="O409" i="6"/>
  <c r="N407" i="6"/>
  <c r="N405" i="6" s="1"/>
  <c r="M407" i="6"/>
  <c r="L407" i="6"/>
  <c r="P406" i="6"/>
  <c r="O406" i="6"/>
  <c r="N403" i="6"/>
  <c r="M403" i="6"/>
  <c r="L403" i="6"/>
  <c r="O403" i="6" s="1"/>
  <c r="K401" i="6"/>
  <c r="J401" i="6"/>
  <c r="I401" i="6"/>
  <c r="K400" i="6"/>
  <c r="K399" i="6"/>
  <c r="N397" i="6"/>
  <c r="M397" i="6"/>
  <c r="M395" i="6" s="1"/>
  <c r="P395" i="6" s="1"/>
  <c r="L397" i="6"/>
  <c r="P396" i="6"/>
  <c r="O396" i="6"/>
  <c r="N394" i="6"/>
  <c r="N392" i="6" s="1"/>
  <c r="M394" i="6"/>
  <c r="P394" i="6" s="1"/>
  <c r="L394" i="6"/>
  <c r="L392" i="6" s="1"/>
  <c r="O392" i="6" s="1"/>
  <c r="P393" i="6"/>
  <c r="O393" i="6"/>
  <c r="P390" i="6"/>
  <c r="O390" i="6"/>
  <c r="N390" i="6"/>
  <c r="M390" i="6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N348" i="6" s="1"/>
  <c r="M350" i="6"/>
  <c r="L350" i="6"/>
  <c r="L348" i="6" s="1"/>
  <c r="P349" i="6"/>
  <c r="O349" i="6"/>
  <c r="P346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M334" i="6" s="1"/>
  <c r="P334" i="6" s="1"/>
  <c r="L336" i="6"/>
  <c r="O336" i="6" s="1"/>
  <c r="P335" i="6"/>
  <c r="O335" i="6"/>
  <c r="N333" i="6"/>
  <c r="M333" i="6"/>
  <c r="M331" i="6" s="1"/>
  <c r="L333" i="6"/>
  <c r="P332" i="6"/>
  <c r="O332" i="6"/>
  <c r="P329" i="6"/>
  <c r="N329" i="6"/>
  <c r="M329" i="6"/>
  <c r="L329" i="6"/>
  <c r="I327" i="6"/>
  <c r="I325" i="6"/>
  <c r="N323" i="6"/>
  <c r="N321" i="6" s="1"/>
  <c r="M323" i="6"/>
  <c r="L323" i="6"/>
  <c r="O323" i="6" s="1"/>
  <c r="P322" i="6"/>
  <c r="O322" i="6"/>
  <c r="N320" i="6"/>
  <c r="N318" i="6" s="1"/>
  <c r="M320" i="6"/>
  <c r="L320" i="6"/>
  <c r="P319" i="6"/>
  <c r="O319" i="6"/>
  <c r="P316" i="6"/>
  <c r="N316" i="6"/>
  <c r="M316" i="6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M304" i="6" s="1"/>
  <c r="P304" i="6" s="1"/>
  <c r="L306" i="6"/>
  <c r="O306" i="6" s="1"/>
  <c r="P305" i="6"/>
  <c r="O305" i="6"/>
  <c r="N303" i="6"/>
  <c r="N301" i="6" s="1"/>
  <c r="M303" i="6"/>
  <c r="M301" i="6" s="1"/>
  <c r="L303" i="6"/>
  <c r="P302" i="6"/>
  <c r="O302" i="6"/>
  <c r="P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K288" i="6" s="1"/>
  <c r="I287" i="6"/>
  <c r="I276" i="6" s="1"/>
  <c r="K276" i="6" s="1"/>
  <c r="N285" i="6"/>
  <c r="N283" i="6" s="1"/>
  <c r="M285" i="6"/>
  <c r="P285" i="6" s="1"/>
  <c r="L285" i="6"/>
  <c r="O285" i="6" s="1"/>
  <c r="P284" i="6"/>
  <c r="O284" i="6"/>
  <c r="N282" i="6"/>
  <c r="M282" i="6"/>
  <c r="P282" i="6" s="1"/>
  <c r="L282" i="6"/>
  <c r="O282" i="6" s="1"/>
  <c r="P281" i="6"/>
  <c r="O281" i="6"/>
  <c r="O278" i="6"/>
  <c r="N278" i="6"/>
  <c r="M278" i="6"/>
  <c r="L278" i="6"/>
  <c r="J276" i="6"/>
  <c r="I271" i="6"/>
  <c r="I260" i="6" s="1"/>
  <c r="K260" i="6" s="1"/>
  <c r="N269" i="6"/>
  <c r="N267" i="6" s="1"/>
  <c r="M269" i="6"/>
  <c r="P269" i="6" s="1"/>
  <c r="L269" i="6"/>
  <c r="P268" i="6"/>
  <c r="O268" i="6"/>
  <c r="N266" i="6"/>
  <c r="N264" i="6" s="1"/>
  <c r="M266" i="6"/>
  <c r="M264" i="6" s="1"/>
  <c r="L266" i="6"/>
  <c r="P265" i="6"/>
  <c r="O265" i="6"/>
  <c r="P262" i="6"/>
  <c r="N262" i="6"/>
  <c r="M262" i="6"/>
  <c r="L262" i="6"/>
  <c r="O262" i="6" s="1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K244" i="6" s="1"/>
  <c r="L242" i="6"/>
  <c r="L241" i="6"/>
  <c r="L240" i="6"/>
  <c r="L239" i="6"/>
  <c r="P238" i="6"/>
  <c r="N238" i="6"/>
  <c r="J237" i="6"/>
  <c r="J226" i="6" s="1"/>
  <c r="J180" i="6" s="1"/>
  <c r="J236" i="6"/>
  <c r="I236" i="6"/>
  <c r="K236" i="6" s="1"/>
  <c r="J235" i="6"/>
  <c r="I235" i="6"/>
  <c r="K235" i="6" s="1"/>
  <c r="J233" i="6"/>
  <c r="N231" i="6"/>
  <c r="N230" i="6"/>
  <c r="N229" i="6"/>
  <c r="N228" i="6"/>
  <c r="N227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P188" i="6"/>
  <c r="O188" i="6"/>
  <c r="N186" i="6"/>
  <c r="N184" i="6" s="1"/>
  <c r="M186" i="6"/>
  <c r="L186" i="6"/>
  <c r="L184" i="6" s="1"/>
  <c r="P185" i="6"/>
  <c r="O185" i="6"/>
  <c r="O182" i="6"/>
  <c r="N182" i="6"/>
  <c r="M182" i="6"/>
  <c r="P182" i="6" s="1"/>
  <c r="L182" i="6"/>
  <c r="J177" i="6"/>
  <c r="I176" i="6"/>
  <c r="I174" i="6" s="1"/>
  <c r="I164" i="6" s="1"/>
  <c r="J174" i="6"/>
  <c r="N173" i="6"/>
  <c r="N171" i="6" s="1"/>
  <c r="M173" i="6"/>
  <c r="P173" i="6" s="1"/>
  <c r="L173" i="6"/>
  <c r="L171" i="6" s="1"/>
  <c r="O171" i="6" s="1"/>
  <c r="P172" i="6"/>
  <c r="O172" i="6"/>
  <c r="N170" i="6"/>
  <c r="M170" i="6"/>
  <c r="L170" i="6"/>
  <c r="L168" i="6" s="1"/>
  <c r="P169" i="6"/>
  <c r="O169" i="6"/>
  <c r="O166" i="6"/>
  <c r="N166" i="6"/>
  <c r="M166" i="6"/>
  <c r="P166" i="6" s="1"/>
  <c r="L166" i="6"/>
  <c r="J164" i="6"/>
  <c r="I159" i="6"/>
  <c r="I148" i="6" s="1"/>
  <c r="K148" i="6" s="1"/>
  <c r="N157" i="6"/>
  <c r="N155" i="6" s="1"/>
  <c r="M157" i="6"/>
  <c r="P157" i="6" s="1"/>
  <c r="L157" i="6"/>
  <c r="O157" i="6" s="1"/>
  <c r="P156" i="6"/>
  <c r="O156" i="6"/>
  <c r="N154" i="6"/>
  <c r="N152" i="6" s="1"/>
  <c r="M154" i="6"/>
  <c r="M152" i="6" s="1"/>
  <c r="L154" i="6"/>
  <c r="L152" i="6" s="1"/>
  <c r="P153" i="6"/>
  <c r="O153" i="6"/>
  <c r="P150" i="6"/>
  <c r="N150" i="6"/>
  <c r="M150" i="6"/>
  <c r="L150" i="6"/>
  <c r="O150" i="6" s="1"/>
  <c r="J148" i="6"/>
  <c r="I146" i="6"/>
  <c r="K146" i="6" s="1"/>
  <c r="I145" i="6"/>
  <c r="I143" i="6" s="1"/>
  <c r="I144" i="6"/>
  <c r="N140" i="6"/>
  <c r="N138" i="6" s="1"/>
  <c r="M140" i="6"/>
  <c r="L140" i="6"/>
  <c r="P139" i="6"/>
  <c r="O139" i="6"/>
  <c r="N137" i="6"/>
  <c r="N135" i="6" s="1"/>
  <c r="M137" i="6"/>
  <c r="L137" i="6"/>
  <c r="L135" i="6" s="1"/>
  <c r="O135" i="6" s="1"/>
  <c r="P136" i="6"/>
  <c r="O136" i="6"/>
  <c r="P133" i="6"/>
  <c r="N133" i="6"/>
  <c r="M133" i="6"/>
  <c r="L133" i="6"/>
  <c r="O133" i="6" s="1"/>
  <c r="J130" i="6"/>
  <c r="N127" i="6"/>
  <c r="N125" i="6" s="1"/>
  <c r="M127" i="6"/>
  <c r="M125" i="6" s="1"/>
  <c r="P125" i="6" s="1"/>
  <c r="L127" i="6"/>
  <c r="O127" i="6" s="1"/>
  <c r="P126" i="6"/>
  <c r="O126" i="6"/>
  <c r="N124" i="6"/>
  <c r="M124" i="6"/>
  <c r="P124" i="6" s="1"/>
  <c r="L124" i="6"/>
  <c r="O124" i="6" s="1"/>
  <c r="P123" i="6"/>
  <c r="O123" i="6"/>
  <c r="N120" i="6"/>
  <c r="M120" i="6"/>
  <c r="P120" i="6" s="1"/>
  <c r="L120" i="6"/>
  <c r="O120" i="6" s="1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I98" i="6"/>
  <c r="K98" i="6" s="1"/>
  <c r="N96" i="6"/>
  <c r="M96" i="6"/>
  <c r="P96" i="6" s="1"/>
  <c r="L96" i="6"/>
  <c r="L94" i="6" s="1"/>
  <c r="O94" i="6" s="1"/>
  <c r="P95" i="6"/>
  <c r="O95" i="6"/>
  <c r="N93" i="6"/>
  <c r="N91" i="6" s="1"/>
  <c r="M93" i="6"/>
  <c r="L93" i="6"/>
  <c r="L91" i="6" s="1"/>
  <c r="P92" i="6"/>
  <c r="O92" i="6"/>
  <c r="N89" i="6"/>
  <c r="M89" i="6"/>
  <c r="P89" i="6" s="1"/>
  <c r="L89" i="6"/>
  <c r="J87" i="6"/>
  <c r="J86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K78" i="6" s="1"/>
  <c r="J77" i="6"/>
  <c r="J76" i="6"/>
  <c r="N74" i="6"/>
  <c r="N72" i="6" s="1"/>
  <c r="M74" i="6"/>
  <c r="P74" i="6" s="1"/>
  <c r="L74" i="6"/>
  <c r="P73" i="6"/>
  <c r="O73" i="6"/>
  <c r="N71" i="6"/>
  <c r="N69" i="6" s="1"/>
  <c r="M71" i="6"/>
  <c r="M69" i="6" s="1"/>
  <c r="L71" i="6"/>
  <c r="P70" i="6"/>
  <c r="O70" i="6"/>
  <c r="P67" i="6"/>
  <c r="N67" i="6"/>
  <c r="M67" i="6"/>
  <c r="L67" i="6"/>
  <c r="O67" i="6" s="1"/>
  <c r="J65" i="6"/>
  <c r="J64" i="6"/>
  <c r="N61" i="6"/>
  <c r="N59" i="6" s="1"/>
  <c r="M61" i="6"/>
  <c r="M59" i="6" s="1"/>
  <c r="L61" i="6"/>
  <c r="L59" i="6" s="1"/>
  <c r="P60" i="6"/>
  <c r="O60" i="6"/>
  <c r="N58" i="6"/>
  <c r="N56" i="6" s="1"/>
  <c r="M58" i="6"/>
  <c r="L58" i="6"/>
  <c r="L56" i="6" s="1"/>
  <c r="P57" i="6"/>
  <c r="O57" i="6"/>
  <c r="P54" i="6"/>
  <c r="N54" i="6"/>
  <c r="M54" i="6"/>
  <c r="L54" i="6"/>
  <c r="O54" i="6" s="1"/>
  <c r="N49" i="6"/>
  <c r="N47" i="6" s="1"/>
  <c r="M49" i="6"/>
  <c r="L49" i="6"/>
  <c r="P48" i="6"/>
  <c r="O48" i="6"/>
  <c r="N46" i="6"/>
  <c r="M46" i="6"/>
  <c r="L46" i="6"/>
  <c r="L44" i="6" s="1"/>
  <c r="P45" i="6"/>
  <c r="O45" i="6"/>
  <c r="P42" i="6"/>
  <c r="N42" i="6"/>
  <c r="M42" i="6"/>
  <c r="L42" i="6"/>
  <c r="N36" i="6"/>
  <c r="M36" i="6"/>
  <c r="P36" i="6" s="1"/>
  <c r="P35" i="6"/>
  <c r="N35" i="6"/>
  <c r="N34" i="6" s="1"/>
  <c r="M35" i="6"/>
  <c r="L35" i="6"/>
  <c r="M34" i="6"/>
  <c r="P34" i="6" s="1"/>
  <c r="N33" i="6"/>
  <c r="N30" i="6" s="1"/>
  <c r="O32" i="6"/>
  <c r="N32" i="6"/>
  <c r="N31" i="6" s="1"/>
  <c r="M32" i="6"/>
  <c r="P32" i="6" s="1"/>
  <c r="L32" i="6"/>
  <c r="L29" i="6"/>
  <c r="O25" i="6"/>
  <c r="N25" i="6"/>
  <c r="M25" i="6"/>
  <c r="P25" i="6" s="1"/>
  <c r="L25" i="6"/>
  <c r="P22" i="6"/>
  <c r="N22" i="6"/>
  <c r="M22" i="6"/>
  <c r="L22" i="6"/>
  <c r="M19" i="6"/>
  <c r="P19" i="6" s="1"/>
  <c r="L15" i="6"/>
  <c r="M12" i="6"/>
  <c r="P12" i="6" s="1"/>
  <c r="J828" i="5"/>
  <c r="I828" i="5"/>
  <c r="J827" i="5"/>
  <c r="I827" i="5"/>
  <c r="J826" i="5"/>
  <c r="I826" i="5"/>
  <c r="K826" i="5" s="1"/>
  <c r="J825" i="5"/>
  <c r="I825" i="5"/>
  <c r="K825" i="5" s="1"/>
  <c r="J824" i="5"/>
  <c r="J823" i="5"/>
  <c r="J822" i="5"/>
  <c r="I822" i="5"/>
  <c r="J821" i="5"/>
  <c r="I821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M808" i="5"/>
  <c r="P808" i="5" s="1"/>
  <c r="L808" i="5"/>
  <c r="O808" i="5" s="1"/>
  <c r="M807" i="5"/>
  <c r="P807" i="5" s="1"/>
  <c r="L807" i="5"/>
  <c r="O807" i="5" s="1"/>
  <c r="P806" i="5"/>
  <c r="N806" i="5"/>
  <c r="M806" i="5"/>
  <c r="L806" i="5"/>
  <c r="O806" i="5" s="1"/>
  <c r="K804" i="5"/>
  <c r="J804" i="5"/>
  <c r="K802" i="5"/>
  <c r="J801" i="5"/>
  <c r="J800" i="5"/>
  <c r="J785" i="5" s="1"/>
  <c r="I800" i="5"/>
  <c r="I785" i="5" s="1"/>
  <c r="K785" i="5" s="1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L791" i="5"/>
  <c r="P790" i="5"/>
  <c r="O790" i="5"/>
  <c r="N789" i="5"/>
  <c r="M789" i="5"/>
  <c r="P789" i="5" s="1"/>
  <c r="M788" i="5"/>
  <c r="P788" i="5" s="1"/>
  <c r="L788" i="5"/>
  <c r="O788" i="5" s="1"/>
  <c r="P787" i="5"/>
  <c r="N787" i="5"/>
  <c r="N786" i="5" s="1"/>
  <c r="M787" i="5"/>
  <c r="L787" i="5"/>
  <c r="O787" i="5" s="1"/>
  <c r="P782" i="5"/>
  <c r="O782" i="5"/>
  <c r="P781" i="5"/>
  <c r="O781" i="5"/>
  <c r="P780" i="5"/>
  <c r="O780" i="5"/>
  <c r="N780" i="5"/>
  <c r="M780" i="5"/>
  <c r="L780" i="5"/>
  <c r="P775" i="5"/>
  <c r="O775" i="5"/>
  <c r="N775" i="5"/>
  <c r="P774" i="5"/>
  <c r="O774" i="5"/>
  <c r="O773" i="5"/>
  <c r="N773" i="5"/>
  <c r="M773" i="5"/>
  <c r="P773" i="5" s="1"/>
  <c r="L773" i="5"/>
  <c r="N772" i="5"/>
  <c r="N770" i="5" s="1"/>
  <c r="M772" i="5"/>
  <c r="P772" i="5" s="1"/>
  <c r="L772" i="5"/>
  <c r="O772" i="5" s="1"/>
  <c r="N771" i="5"/>
  <c r="M771" i="5"/>
  <c r="P771" i="5" s="1"/>
  <c r="L771" i="5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P758" i="5"/>
  <c r="O758" i="5"/>
  <c r="O757" i="5"/>
  <c r="N757" i="5"/>
  <c r="M757" i="5"/>
  <c r="P757" i="5" s="1"/>
  <c r="L757" i="5"/>
  <c r="N756" i="5"/>
  <c r="N754" i="5" s="1"/>
  <c r="M756" i="5"/>
  <c r="P756" i="5" s="1"/>
  <c r="L756" i="5"/>
  <c r="O756" i="5" s="1"/>
  <c r="N755" i="5"/>
  <c r="M755" i="5"/>
  <c r="P755" i="5" s="1"/>
  <c r="L755" i="5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P741" i="5"/>
  <c r="O741" i="5"/>
  <c r="O740" i="5"/>
  <c r="N740" i="5"/>
  <c r="M740" i="5"/>
  <c r="P740" i="5" s="1"/>
  <c r="L740" i="5"/>
  <c r="N739" i="5"/>
  <c r="N737" i="5" s="1"/>
  <c r="M739" i="5"/>
  <c r="P739" i="5" s="1"/>
  <c r="L739" i="5"/>
  <c r="O739" i="5" s="1"/>
  <c r="N738" i="5"/>
  <c r="M738" i="5"/>
  <c r="P738" i="5" s="1"/>
  <c r="L738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O695" i="5"/>
  <c r="N695" i="5"/>
  <c r="M695" i="5"/>
  <c r="L695" i="5"/>
  <c r="P690" i="5"/>
  <c r="N690" i="5"/>
  <c r="N687" i="5" s="1"/>
  <c r="L690" i="5"/>
  <c r="N688" i="5"/>
  <c r="M688" i="5"/>
  <c r="P688" i="5" s="1"/>
  <c r="M687" i="5"/>
  <c r="P687" i="5" s="1"/>
  <c r="P686" i="5"/>
  <c r="N686" i="5"/>
  <c r="N685" i="5" s="1"/>
  <c r="M686" i="5"/>
  <c r="L686" i="5"/>
  <c r="O686" i="5" s="1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3" i="5" s="1"/>
  <c r="P667" i="5"/>
  <c r="O667" i="5"/>
  <c r="P666" i="5"/>
  <c r="O666" i="5"/>
  <c r="P665" i="5"/>
  <c r="N665" i="5"/>
  <c r="M665" i="5"/>
  <c r="L665" i="5"/>
  <c r="O665" i="5" s="1"/>
  <c r="P660" i="5"/>
  <c r="N660" i="5"/>
  <c r="N657" i="5" s="1"/>
  <c r="L660" i="5"/>
  <c r="O660" i="5" s="1"/>
  <c r="P659" i="5"/>
  <c r="O659" i="5"/>
  <c r="P658" i="5"/>
  <c r="N658" i="5"/>
  <c r="M658" i="5"/>
  <c r="P657" i="5"/>
  <c r="M657" i="5"/>
  <c r="O656" i="5"/>
  <c r="N656" i="5"/>
  <c r="N655" i="5" s="1"/>
  <c r="M656" i="5"/>
  <c r="P656" i="5" s="1"/>
  <c r="L656" i="5"/>
  <c r="M655" i="5"/>
  <c r="P655" i="5" s="1"/>
  <c r="J654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N638" i="5"/>
  <c r="N634" i="5"/>
  <c r="L634" i="5"/>
  <c r="M634" i="5" s="1"/>
  <c r="M631" i="5" s="1"/>
  <c r="P631" i="5" s="1"/>
  <c r="P633" i="5"/>
  <c r="O633" i="5"/>
  <c r="N632" i="5"/>
  <c r="N631" i="5"/>
  <c r="N629" i="5" s="1"/>
  <c r="N630" i="5"/>
  <c r="M630" i="5"/>
  <c r="P630" i="5" s="1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J593" i="5" s="1"/>
  <c r="J592" i="5" s="1"/>
  <c r="I594" i="5"/>
  <c r="I593" i="5"/>
  <c r="J583" i="5"/>
  <c r="J582" i="5"/>
  <c r="J576" i="5" s="1"/>
  <c r="J559" i="5" s="1"/>
  <c r="J543" i="5" s="1"/>
  <c r="J577" i="5"/>
  <c r="I577" i="5"/>
  <c r="K577" i="5" s="1"/>
  <c r="I576" i="5"/>
  <c r="I559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L555" i="5" s="1"/>
  <c r="O555" i="5" s="1"/>
  <c r="P556" i="5"/>
  <c r="O556" i="5"/>
  <c r="N555" i="5"/>
  <c r="M555" i="5"/>
  <c r="P555" i="5" s="1"/>
  <c r="N553" i="5"/>
  <c r="N552" i="5"/>
  <c r="N549" i="5"/>
  <c r="N546" i="5" s="1"/>
  <c r="N544" i="5" s="1"/>
  <c r="L549" i="5"/>
  <c r="L547" i="5" s="1"/>
  <c r="P548" i="5"/>
  <c r="O548" i="5"/>
  <c r="N547" i="5"/>
  <c r="N545" i="5"/>
  <c r="L545" i="5"/>
  <c r="O545" i="5" s="1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I522" i="5" s="1"/>
  <c r="P535" i="5"/>
  <c r="L535" i="5"/>
  <c r="P534" i="5"/>
  <c r="O534" i="5"/>
  <c r="N533" i="5"/>
  <c r="M533" i="5"/>
  <c r="P533" i="5" s="1"/>
  <c r="N532" i="5"/>
  <c r="N528" i="5"/>
  <c r="N525" i="5" s="1"/>
  <c r="N523" i="5" s="1"/>
  <c r="L528" i="5"/>
  <c r="M528" i="5" s="1"/>
  <c r="M525" i="5" s="1"/>
  <c r="P527" i="5"/>
  <c r="O527" i="5"/>
  <c r="N524" i="5"/>
  <c r="M524" i="5"/>
  <c r="L524" i="5"/>
  <c r="K517" i="5"/>
  <c r="J517" i="5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P506" i="5"/>
  <c r="O506" i="5"/>
  <c r="M505" i="5"/>
  <c r="P505" i="5" s="1"/>
  <c r="L505" i="5"/>
  <c r="O505" i="5" s="1"/>
  <c r="P504" i="5"/>
  <c r="M504" i="5"/>
  <c r="L504" i="5"/>
  <c r="P503" i="5"/>
  <c r="O503" i="5"/>
  <c r="N503" i="5"/>
  <c r="M503" i="5"/>
  <c r="M502" i="5" s="1"/>
  <c r="P502" i="5" s="1"/>
  <c r="L503" i="5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N477" i="5"/>
  <c r="M477" i="5"/>
  <c r="P477" i="5" s="1"/>
  <c r="N476" i="5"/>
  <c r="N474" i="5"/>
  <c r="N472" i="5" s="1"/>
  <c r="N473" i="5"/>
  <c r="L472" i="5"/>
  <c r="M472" i="5" s="1"/>
  <c r="P471" i="5"/>
  <c r="O471" i="5"/>
  <c r="O468" i="5"/>
  <c r="N468" i="5"/>
  <c r="M468" i="5"/>
  <c r="P468" i="5" s="1"/>
  <c r="L468" i="5"/>
  <c r="J466" i="5"/>
  <c r="I466" i="5"/>
  <c r="J465" i="5"/>
  <c r="I465" i="5"/>
  <c r="I464" i="5"/>
  <c r="I463" i="5"/>
  <c r="I462" i="5"/>
  <c r="I460" i="5"/>
  <c r="K458" i="5"/>
  <c r="P456" i="5"/>
  <c r="L456" i="5"/>
  <c r="P455" i="5"/>
  <c r="O455" i="5"/>
  <c r="N454" i="5"/>
  <c r="M454" i="5"/>
  <c r="P454" i="5" s="1"/>
  <c r="N453" i="5"/>
  <c r="N449" i="5" s="1"/>
  <c r="L449" i="5"/>
  <c r="M449" i="5" s="1"/>
  <c r="M446" i="5" s="1"/>
  <c r="P448" i="5"/>
  <c r="O448" i="5"/>
  <c r="P445" i="5"/>
  <c r="N445" i="5"/>
  <c r="M445" i="5"/>
  <c r="L445" i="5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J434" i="5"/>
  <c r="P431" i="5"/>
  <c r="L431" i="5"/>
  <c r="O431" i="5" s="1"/>
  <c r="P430" i="5"/>
  <c r="O430" i="5"/>
  <c r="N429" i="5"/>
  <c r="M429" i="5"/>
  <c r="P429" i="5" s="1"/>
  <c r="N428" i="5"/>
  <c r="N424" i="5"/>
  <c r="N422" i="5" s="1"/>
  <c r="L424" i="5"/>
  <c r="P423" i="5"/>
  <c r="O423" i="5"/>
  <c r="N421" i="5"/>
  <c r="N420" i="5"/>
  <c r="N419" i="5" s="1"/>
  <c r="M420" i="5"/>
  <c r="L420" i="5"/>
  <c r="O420" i="5" s="1"/>
  <c r="J418" i="5"/>
  <c r="K413" i="5"/>
  <c r="K412" i="5"/>
  <c r="N410" i="5"/>
  <c r="N408" i="5" s="1"/>
  <c r="M410" i="5"/>
  <c r="P410" i="5" s="1"/>
  <c r="L410" i="5"/>
  <c r="L408" i="5" s="1"/>
  <c r="O408" i="5" s="1"/>
  <c r="P409" i="5"/>
  <c r="O409" i="5"/>
  <c r="N407" i="5"/>
  <c r="N405" i="5" s="1"/>
  <c r="M407" i="5"/>
  <c r="P407" i="5" s="1"/>
  <c r="L407" i="5"/>
  <c r="P406" i="5"/>
  <c r="O406" i="5"/>
  <c r="P403" i="5"/>
  <c r="N403" i="5"/>
  <c r="M403" i="5"/>
  <c r="L403" i="5"/>
  <c r="O403" i="5" s="1"/>
  <c r="K401" i="5"/>
  <c r="J401" i="5"/>
  <c r="I401" i="5"/>
  <c r="K400" i="5"/>
  <c r="K399" i="5"/>
  <c r="N397" i="5"/>
  <c r="N395" i="5" s="1"/>
  <c r="M397" i="5"/>
  <c r="P397" i="5" s="1"/>
  <c r="L397" i="5"/>
  <c r="P396" i="5"/>
  <c r="O396" i="5"/>
  <c r="N394" i="5"/>
  <c r="N392" i="5" s="1"/>
  <c r="M394" i="5"/>
  <c r="L394" i="5"/>
  <c r="P393" i="5"/>
  <c r="O393" i="5"/>
  <c r="P390" i="5"/>
  <c r="N390" i="5"/>
  <c r="M390" i="5"/>
  <c r="L390" i="5"/>
  <c r="O390" i="5" s="1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N348" i="5" s="1"/>
  <c r="M350" i="5"/>
  <c r="M348" i="5" s="1"/>
  <c r="L350" i="5"/>
  <c r="P349" i="5"/>
  <c r="O349" i="5"/>
  <c r="P346" i="5"/>
  <c r="N346" i="5"/>
  <c r="M346" i="5"/>
  <c r="L346" i="5"/>
  <c r="J343" i="5"/>
  <c r="J342" i="5"/>
  <c r="J341" i="5"/>
  <c r="J340" i="5"/>
  <c r="I340" i="5"/>
  <c r="J338" i="5"/>
  <c r="I338" i="5"/>
  <c r="N336" i="5"/>
  <c r="N334" i="5" s="1"/>
  <c r="M336" i="5"/>
  <c r="L336" i="5"/>
  <c r="P335" i="5"/>
  <c r="O335" i="5"/>
  <c r="N333" i="5"/>
  <c r="N331" i="5" s="1"/>
  <c r="M333" i="5"/>
  <c r="M331" i="5" s="1"/>
  <c r="L333" i="5"/>
  <c r="P332" i="5"/>
  <c r="O332" i="5"/>
  <c r="P329" i="5"/>
  <c r="O329" i="5"/>
  <c r="N329" i="5"/>
  <c r="M329" i="5"/>
  <c r="L329" i="5"/>
  <c r="I327" i="5"/>
  <c r="I325" i="5"/>
  <c r="N323" i="5"/>
  <c r="N321" i="5" s="1"/>
  <c r="M323" i="5"/>
  <c r="L323" i="5"/>
  <c r="O323" i="5" s="1"/>
  <c r="P322" i="5"/>
  <c r="O322" i="5"/>
  <c r="N320" i="5"/>
  <c r="N318" i="5" s="1"/>
  <c r="M320" i="5"/>
  <c r="L320" i="5"/>
  <c r="P319" i="5"/>
  <c r="O319" i="5"/>
  <c r="P316" i="5"/>
  <c r="N316" i="5"/>
  <c r="M316" i="5"/>
  <c r="L316" i="5"/>
  <c r="O316" i="5" s="1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P305" i="5"/>
  <c r="O305" i="5"/>
  <c r="N303" i="5"/>
  <c r="N301" i="5" s="1"/>
  <c r="M303" i="5"/>
  <c r="L303" i="5"/>
  <c r="P302" i="5"/>
  <c r="O302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I287" i="5"/>
  <c r="K287" i="5" s="1"/>
  <c r="N285" i="5"/>
  <c r="N283" i="5" s="1"/>
  <c r="M285" i="5"/>
  <c r="L285" i="5"/>
  <c r="O285" i="5" s="1"/>
  <c r="P284" i="5"/>
  <c r="O284" i="5"/>
  <c r="N282" i="5"/>
  <c r="M282" i="5"/>
  <c r="L282" i="5"/>
  <c r="P281" i="5"/>
  <c r="O281" i="5"/>
  <c r="O278" i="5"/>
  <c r="N278" i="5"/>
  <c r="M278" i="5"/>
  <c r="P278" i="5" s="1"/>
  <c r="L278" i="5"/>
  <c r="J276" i="5"/>
  <c r="I271" i="5"/>
  <c r="N269" i="5"/>
  <c r="N267" i="5" s="1"/>
  <c r="M269" i="5"/>
  <c r="M267" i="5" s="1"/>
  <c r="P267" i="5" s="1"/>
  <c r="L269" i="5"/>
  <c r="P268" i="5"/>
  <c r="O268" i="5"/>
  <c r="N266" i="5"/>
  <c r="M266" i="5"/>
  <c r="M264" i="5" s="1"/>
  <c r="L266" i="5"/>
  <c r="L264" i="5" s="1"/>
  <c r="P265" i="5"/>
  <c r="O265" i="5"/>
  <c r="P262" i="5"/>
  <c r="N262" i="5"/>
  <c r="M262" i="5"/>
  <c r="L262" i="5"/>
  <c r="O262" i="5" s="1"/>
  <c r="J260" i="5"/>
  <c r="K258" i="5"/>
  <c r="K257" i="5"/>
  <c r="I255" i="5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J237" i="5"/>
  <c r="J236" i="5"/>
  <c r="I236" i="5"/>
  <c r="K236" i="5" s="1"/>
  <c r="K235" i="5"/>
  <c r="J235" i="5"/>
  <c r="I235" i="5"/>
  <c r="J233" i="5"/>
  <c r="N231" i="5"/>
  <c r="N230" i="5"/>
  <c r="N229" i="5"/>
  <c r="N228" i="5"/>
  <c r="N227" i="5"/>
  <c r="J226" i="5"/>
  <c r="I225" i="5"/>
  <c r="I224" i="5"/>
  <c r="I216" i="5" s="1"/>
  <c r="K216" i="5" s="1"/>
  <c r="I223" i="5"/>
  <c r="K223" i="5" s="1"/>
  <c r="L220" i="5"/>
  <c r="L219" i="5"/>
  <c r="L218" i="5"/>
  <c r="P217" i="5"/>
  <c r="N217" i="5"/>
  <c r="J216" i="5"/>
  <c r="I215" i="5"/>
  <c r="I208" i="5" s="1"/>
  <c r="K208" i="5" s="1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J194" i="5"/>
  <c r="I193" i="5"/>
  <c r="I190" i="5" s="1"/>
  <c r="K190" i="5" s="1"/>
  <c r="P191" i="5"/>
  <c r="N191" i="5"/>
  <c r="L191" i="5"/>
  <c r="J190" i="5"/>
  <c r="N189" i="5"/>
  <c r="N187" i="5" s="1"/>
  <c r="M189" i="5"/>
  <c r="P189" i="5" s="1"/>
  <c r="L189" i="5"/>
  <c r="L187" i="5" s="1"/>
  <c r="O187" i="5" s="1"/>
  <c r="P188" i="5"/>
  <c r="O188" i="5"/>
  <c r="N186" i="5"/>
  <c r="M186" i="5"/>
  <c r="M184" i="5" s="1"/>
  <c r="L186" i="5"/>
  <c r="P185" i="5"/>
  <c r="O185" i="5"/>
  <c r="N182" i="5"/>
  <c r="M182" i="5"/>
  <c r="P182" i="5" s="1"/>
  <c r="L182" i="5"/>
  <c r="J180" i="5"/>
  <c r="J177" i="5"/>
  <c r="I176" i="5"/>
  <c r="I174" i="5" s="1"/>
  <c r="J174" i="5"/>
  <c r="N173" i="5"/>
  <c r="N171" i="5" s="1"/>
  <c r="M173" i="5"/>
  <c r="P173" i="5" s="1"/>
  <c r="L173" i="5"/>
  <c r="L171" i="5" s="1"/>
  <c r="O171" i="5" s="1"/>
  <c r="P172" i="5"/>
  <c r="O172" i="5"/>
  <c r="N170" i="5"/>
  <c r="N168" i="5" s="1"/>
  <c r="M170" i="5"/>
  <c r="P170" i="5" s="1"/>
  <c r="L170" i="5"/>
  <c r="L168" i="5" s="1"/>
  <c r="O168" i="5" s="1"/>
  <c r="P169" i="5"/>
  <c r="O169" i="5"/>
  <c r="O166" i="5"/>
  <c r="N166" i="5"/>
  <c r="M166" i="5"/>
  <c r="P166" i="5" s="1"/>
  <c r="L166" i="5"/>
  <c r="J164" i="5"/>
  <c r="I159" i="5"/>
  <c r="K159" i="5" s="1"/>
  <c r="N157" i="5"/>
  <c r="N155" i="5" s="1"/>
  <c r="M157" i="5"/>
  <c r="L157" i="5"/>
  <c r="O157" i="5" s="1"/>
  <c r="P156" i="5"/>
  <c r="O156" i="5"/>
  <c r="N154" i="5"/>
  <c r="N152" i="5" s="1"/>
  <c r="M154" i="5"/>
  <c r="P154" i="5" s="1"/>
  <c r="L154" i="5"/>
  <c r="L152" i="5" s="1"/>
  <c r="O152" i="5" s="1"/>
  <c r="P153" i="5"/>
  <c r="O153" i="5"/>
  <c r="O150" i="5"/>
  <c r="N150" i="5"/>
  <c r="M150" i="5"/>
  <c r="L150" i="5"/>
  <c r="J148" i="5"/>
  <c r="I146" i="5"/>
  <c r="K146" i="5" s="1"/>
  <c r="I145" i="5"/>
  <c r="I144" i="5"/>
  <c r="K144" i="5" s="1"/>
  <c r="N140" i="5"/>
  <c r="N138" i="5" s="1"/>
  <c r="M140" i="5"/>
  <c r="P140" i="5" s="1"/>
  <c r="L140" i="5"/>
  <c r="P139" i="5"/>
  <c r="O139" i="5"/>
  <c r="N137" i="5"/>
  <c r="N135" i="5" s="1"/>
  <c r="M137" i="5"/>
  <c r="L137" i="5"/>
  <c r="L135" i="5" s="1"/>
  <c r="O135" i="5" s="1"/>
  <c r="P136" i="5"/>
  <c r="O136" i="5"/>
  <c r="O133" i="5"/>
  <c r="N133" i="5"/>
  <c r="M133" i="5"/>
  <c r="P133" i="5" s="1"/>
  <c r="L133" i="5"/>
  <c r="J130" i="5"/>
  <c r="N127" i="5"/>
  <c r="N125" i="5" s="1"/>
  <c r="M127" i="5"/>
  <c r="P127" i="5" s="1"/>
  <c r="L127" i="5"/>
  <c r="O127" i="5" s="1"/>
  <c r="P126" i="5"/>
  <c r="O126" i="5"/>
  <c r="N124" i="5"/>
  <c r="M124" i="5"/>
  <c r="P124" i="5" s="1"/>
  <c r="L124" i="5"/>
  <c r="O124" i="5" s="1"/>
  <c r="P123" i="5"/>
  <c r="O123" i="5"/>
  <c r="P120" i="5"/>
  <c r="O120" i="5"/>
  <c r="N120" i="5"/>
  <c r="M120" i="5"/>
  <c r="L120" i="5"/>
  <c r="I116" i="5"/>
  <c r="K116" i="5" s="1"/>
  <c r="I115" i="5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J87" i="5" s="1"/>
  <c r="I99" i="5"/>
  <c r="K99" i="5" s="1"/>
  <c r="J98" i="5"/>
  <c r="I98" i="5"/>
  <c r="K98" i="5" s="1"/>
  <c r="N96" i="5"/>
  <c r="N94" i="5" s="1"/>
  <c r="M96" i="5"/>
  <c r="P96" i="5" s="1"/>
  <c r="L96" i="5"/>
  <c r="O96" i="5" s="1"/>
  <c r="P95" i="5"/>
  <c r="O95" i="5"/>
  <c r="N93" i="5"/>
  <c r="N91" i="5" s="1"/>
  <c r="M93" i="5"/>
  <c r="M91" i="5" s="1"/>
  <c r="L93" i="5"/>
  <c r="P92" i="5"/>
  <c r="O92" i="5"/>
  <c r="O89" i="5"/>
  <c r="N89" i="5"/>
  <c r="M89" i="5"/>
  <c r="P89" i="5" s="1"/>
  <c r="L89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J77" i="5"/>
  <c r="J65" i="5" s="1"/>
  <c r="J76" i="5"/>
  <c r="N74" i="5"/>
  <c r="N72" i="5" s="1"/>
  <c r="M74" i="5"/>
  <c r="M72" i="5" s="1"/>
  <c r="P72" i="5" s="1"/>
  <c r="L74" i="5"/>
  <c r="O74" i="5" s="1"/>
  <c r="P73" i="5"/>
  <c r="O73" i="5"/>
  <c r="N71" i="5"/>
  <c r="N69" i="5" s="1"/>
  <c r="M71" i="5"/>
  <c r="M69" i="5" s="1"/>
  <c r="P69" i="5" s="1"/>
  <c r="L71" i="5"/>
  <c r="L69" i="5" s="1"/>
  <c r="O69" i="5" s="1"/>
  <c r="P70" i="5"/>
  <c r="O70" i="5"/>
  <c r="P67" i="5"/>
  <c r="N67" i="5"/>
  <c r="M67" i="5"/>
  <c r="L67" i="5"/>
  <c r="O67" i="5" s="1"/>
  <c r="J64" i="5"/>
  <c r="N61" i="5"/>
  <c r="N59" i="5" s="1"/>
  <c r="M61" i="5"/>
  <c r="M59" i="5" s="1"/>
  <c r="L61" i="5"/>
  <c r="L59" i="5" s="1"/>
  <c r="P60" i="5"/>
  <c r="O60" i="5"/>
  <c r="N58" i="5"/>
  <c r="M58" i="5"/>
  <c r="L58" i="5"/>
  <c r="L56" i="5" s="1"/>
  <c r="P57" i="5"/>
  <c r="O57" i="5"/>
  <c r="N54" i="5"/>
  <c r="M54" i="5"/>
  <c r="L54" i="5"/>
  <c r="O54" i="5" s="1"/>
  <c r="N49" i="5"/>
  <c r="N47" i="5" s="1"/>
  <c r="M49" i="5"/>
  <c r="M47" i="5" s="1"/>
  <c r="P47" i="5" s="1"/>
  <c r="L49" i="5"/>
  <c r="P48" i="5"/>
  <c r="O48" i="5"/>
  <c r="N46" i="5"/>
  <c r="M46" i="5"/>
  <c r="M44" i="5" s="1"/>
  <c r="L46" i="5"/>
  <c r="P45" i="5"/>
  <c r="O45" i="5"/>
  <c r="N42" i="5"/>
  <c r="M42" i="5"/>
  <c r="P42" i="5" s="1"/>
  <c r="L42" i="5"/>
  <c r="O42" i="5" s="1"/>
  <c r="N36" i="5"/>
  <c r="M36" i="5"/>
  <c r="P36" i="5" s="1"/>
  <c r="P35" i="5"/>
  <c r="N35" i="5"/>
  <c r="M35" i="5"/>
  <c r="L35" i="5"/>
  <c r="N34" i="5"/>
  <c r="N33" i="5"/>
  <c r="N30" i="5" s="1"/>
  <c r="O32" i="5"/>
  <c r="N32" i="5"/>
  <c r="M32" i="5"/>
  <c r="L32" i="5"/>
  <c r="N31" i="5"/>
  <c r="N29" i="5"/>
  <c r="N28" i="5" s="1"/>
  <c r="O25" i="5"/>
  <c r="N25" i="5"/>
  <c r="N15" i="5" s="1"/>
  <c r="M25" i="5"/>
  <c r="L25" i="5"/>
  <c r="P22" i="5"/>
  <c r="O22" i="5"/>
  <c r="N22" i="5"/>
  <c r="N19" i="5" s="1"/>
  <c r="M22" i="5"/>
  <c r="L22" i="5"/>
  <c r="M19" i="5"/>
  <c r="P19" i="5" s="1"/>
  <c r="L19" i="5"/>
  <c r="O19" i="5" s="1"/>
  <c r="N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O791" i="4" s="1"/>
  <c r="P790" i="4"/>
  <c r="O790" i="4"/>
  <c r="P789" i="4"/>
  <c r="M789" i="4"/>
  <c r="M788" i="4"/>
  <c r="P787" i="4"/>
  <c r="N787" i="4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08" i="4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N690" i="4"/>
  <c r="N688" i="4" s="1"/>
  <c r="L690" i="4"/>
  <c r="O690" i="4" s="1"/>
  <c r="N687" i="4"/>
  <c r="N685" i="4" s="1"/>
  <c r="O686" i="4"/>
  <c r="N686" i="4"/>
  <c r="M686" i="4"/>
  <c r="L686" i="4"/>
  <c r="J679" i="4"/>
  <c r="J678" i="4"/>
  <c r="I678" i="4"/>
  <c r="K678" i="4" s="1"/>
  <c r="J675" i="4"/>
  <c r="J669" i="4" s="1"/>
  <c r="I671" i="4"/>
  <c r="K671" i="4" s="1"/>
  <c r="I670" i="4"/>
  <c r="K670" i="4" s="1"/>
  <c r="I669" i="4"/>
  <c r="P667" i="4"/>
  <c r="O667" i="4"/>
  <c r="P666" i="4"/>
  <c r="O666" i="4"/>
  <c r="O665" i="4"/>
  <c r="N665" i="4"/>
  <c r="M665" i="4"/>
  <c r="P665" i="4" s="1"/>
  <c r="L665" i="4"/>
  <c r="N664" i="4"/>
  <c r="N660" i="4" s="1"/>
  <c r="L660" i="4"/>
  <c r="M660" i="4" s="1"/>
  <c r="M657" i="4" s="1"/>
  <c r="P659" i="4"/>
  <c r="O659" i="4"/>
  <c r="P656" i="4"/>
  <c r="N656" i="4"/>
  <c r="M656" i="4"/>
  <c r="L656" i="4"/>
  <c r="K652" i="4"/>
  <c r="J652" i="4"/>
  <c r="J651" i="4"/>
  <c r="J628" i="4" s="1"/>
  <c r="I651" i="4"/>
  <c r="K651" i="4" s="1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N639" i="4"/>
  <c r="M639" i="4"/>
  <c r="P639" i="4" s="1"/>
  <c r="P634" i="4"/>
  <c r="N634" i="4"/>
  <c r="N631" i="4" s="1"/>
  <c r="L634" i="4"/>
  <c r="O634" i="4" s="1"/>
  <c r="P633" i="4"/>
  <c r="O633" i="4"/>
  <c r="P632" i="4"/>
  <c r="N632" i="4"/>
  <c r="M632" i="4"/>
  <c r="M631" i="4"/>
  <c r="P631" i="4" s="1"/>
  <c r="P630" i="4"/>
  <c r="N630" i="4"/>
  <c r="M630" i="4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5" i="4"/>
  <c r="J594" i="4"/>
  <c r="I594" i="4"/>
  <c r="I593" i="4"/>
  <c r="I592" i="4" s="1"/>
  <c r="J583" i="4"/>
  <c r="J577" i="4" s="1"/>
  <c r="J582" i="4"/>
  <c r="I577" i="4"/>
  <c r="K577" i="4" s="1"/>
  <c r="J576" i="4"/>
  <c r="J559" i="4" s="1"/>
  <c r="J543" i="4" s="1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P555" i="4"/>
  <c r="N555" i="4"/>
  <c r="N545" i="4" s="1"/>
  <c r="M555" i="4"/>
  <c r="N553" i="4"/>
  <c r="N549" i="4"/>
  <c r="N547" i="4" s="1"/>
  <c r="L549" i="4"/>
  <c r="M549" i="4" s="1"/>
  <c r="P548" i="4"/>
  <c r="O548" i="4"/>
  <c r="N546" i="4"/>
  <c r="O545" i="4"/>
  <c r="M545" i="4"/>
  <c r="L545" i="4"/>
  <c r="I542" i="4"/>
  <c r="K542" i="4" s="1"/>
  <c r="I541" i="4"/>
  <c r="K541" i="4" s="1"/>
  <c r="I540" i="4"/>
  <c r="K540" i="4" s="1"/>
  <c r="I539" i="4"/>
  <c r="K539" i="4" s="1"/>
  <c r="I538" i="4"/>
  <c r="I537" i="4"/>
  <c r="I522" i="4" s="1"/>
  <c r="K522" i="4" s="1"/>
  <c r="P535" i="4"/>
  <c r="L535" i="4"/>
  <c r="O535" i="4" s="1"/>
  <c r="P534" i="4"/>
  <c r="O534" i="4"/>
  <c r="P533" i="4"/>
  <c r="N533" i="4"/>
  <c r="M533" i="4"/>
  <c r="P528" i="4"/>
  <c r="N528" i="4"/>
  <c r="L528" i="4"/>
  <c r="P527" i="4"/>
  <c r="O527" i="4"/>
  <c r="N526" i="4"/>
  <c r="M526" i="4"/>
  <c r="P526" i="4" s="1"/>
  <c r="P525" i="4"/>
  <c r="N525" i="4"/>
  <c r="M525" i="4"/>
  <c r="O524" i="4"/>
  <c r="N524" i="4"/>
  <c r="N523" i="4" s="1"/>
  <c r="M524" i="4"/>
  <c r="P524" i="4" s="1"/>
  <c r="L524" i="4"/>
  <c r="P523" i="4"/>
  <c r="M523" i="4"/>
  <c r="K517" i="4"/>
  <c r="J517" i="4"/>
  <c r="J501" i="4" s="1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P506" i="4"/>
  <c r="O506" i="4"/>
  <c r="O505" i="4"/>
  <c r="N505" i="4"/>
  <c r="M505" i="4"/>
  <c r="P505" i="4" s="1"/>
  <c r="L505" i="4"/>
  <c r="P504" i="4"/>
  <c r="N504" i="4"/>
  <c r="M504" i="4"/>
  <c r="L504" i="4"/>
  <c r="O504" i="4" s="1"/>
  <c r="O503" i="4"/>
  <c r="N503" i="4"/>
  <c r="M503" i="4"/>
  <c r="M502" i="4" s="1"/>
  <c r="P502" i="4" s="1"/>
  <c r="L503" i="4"/>
  <c r="L502" i="4" s="1"/>
  <c r="O502" i="4" s="1"/>
  <c r="N502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N472" i="4"/>
  <c r="L472" i="4"/>
  <c r="P471" i="4"/>
  <c r="O471" i="4"/>
  <c r="N469" i="4"/>
  <c r="P468" i="4"/>
  <c r="N468" i="4"/>
  <c r="N467" i="4" s="1"/>
  <c r="M468" i="4"/>
  <c r="L468" i="4"/>
  <c r="O468" i="4" s="1"/>
  <c r="J466" i="4"/>
  <c r="I466" i="4"/>
  <c r="K466" i="4" s="1"/>
  <c r="J465" i="4"/>
  <c r="I465" i="4"/>
  <c r="K465" i="4" s="1"/>
  <c r="I464" i="4"/>
  <c r="I463" i="4"/>
  <c r="I462" i="4"/>
  <c r="I460" i="4"/>
  <c r="K460" i="4" s="1"/>
  <c r="K458" i="4"/>
  <c r="P456" i="4"/>
  <c r="L456" i="4"/>
  <c r="O456" i="4" s="1"/>
  <c r="P455" i="4"/>
  <c r="O455" i="4"/>
  <c r="P454" i="4"/>
  <c r="N454" i="4"/>
  <c r="M454" i="4"/>
  <c r="N453" i="4"/>
  <c r="N449" i="4"/>
  <c r="L449" i="4"/>
  <c r="M449" i="4" s="1"/>
  <c r="P448" i="4"/>
  <c r="O448" i="4"/>
  <c r="O445" i="4"/>
  <c r="N445" i="4"/>
  <c r="M445" i="4"/>
  <c r="L445" i="4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J434" i="4"/>
  <c r="J418" i="4" s="1"/>
  <c r="P431" i="4"/>
  <c r="L431" i="4"/>
  <c r="O431" i="4" s="1"/>
  <c r="P430" i="4"/>
  <c r="O430" i="4"/>
  <c r="P429" i="4"/>
  <c r="N429" i="4"/>
  <c r="M429" i="4"/>
  <c r="N428" i="4"/>
  <c r="N424" i="4"/>
  <c r="L424" i="4"/>
  <c r="O424" i="4" s="1"/>
  <c r="P423" i="4"/>
  <c r="O423" i="4"/>
  <c r="N422" i="4"/>
  <c r="N421" i="4"/>
  <c r="O420" i="4"/>
  <c r="N420" i="4"/>
  <c r="M420" i="4"/>
  <c r="L420" i="4"/>
  <c r="N419" i="4"/>
  <c r="K413" i="4"/>
  <c r="K412" i="4"/>
  <c r="N410" i="4"/>
  <c r="N408" i="4" s="1"/>
  <c r="M410" i="4"/>
  <c r="P410" i="4" s="1"/>
  <c r="L410" i="4"/>
  <c r="P409" i="4"/>
  <c r="O409" i="4"/>
  <c r="N407" i="4"/>
  <c r="M407" i="4"/>
  <c r="M405" i="4" s="1"/>
  <c r="P405" i="4" s="1"/>
  <c r="L407" i="4"/>
  <c r="O407" i="4" s="1"/>
  <c r="P406" i="4"/>
  <c r="O406" i="4"/>
  <c r="O403" i="4"/>
  <c r="N403" i="4"/>
  <c r="M403" i="4"/>
  <c r="L403" i="4"/>
  <c r="J401" i="4"/>
  <c r="I401" i="4"/>
  <c r="K401" i="4" s="1"/>
  <c r="K400" i="4"/>
  <c r="K399" i="4"/>
  <c r="N397" i="4"/>
  <c r="N395" i="4" s="1"/>
  <c r="M397" i="4"/>
  <c r="M395" i="4" s="1"/>
  <c r="P395" i="4" s="1"/>
  <c r="L397" i="4"/>
  <c r="P396" i="4"/>
  <c r="O396" i="4"/>
  <c r="N394" i="4"/>
  <c r="N392" i="4" s="1"/>
  <c r="M394" i="4"/>
  <c r="L394" i="4"/>
  <c r="O394" i="4" s="1"/>
  <c r="P393" i="4"/>
  <c r="O393" i="4"/>
  <c r="N390" i="4"/>
  <c r="M390" i="4"/>
  <c r="L390" i="4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P352" i="4"/>
  <c r="O352" i="4"/>
  <c r="N350" i="4"/>
  <c r="N348" i="4" s="1"/>
  <c r="M350" i="4"/>
  <c r="M348" i="4" s="1"/>
  <c r="L350" i="4"/>
  <c r="P349" i="4"/>
  <c r="O349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M336" i="4"/>
  <c r="M334" i="4" s="1"/>
  <c r="L336" i="4"/>
  <c r="P335" i="4"/>
  <c r="O335" i="4"/>
  <c r="N333" i="4"/>
  <c r="N331" i="4" s="1"/>
  <c r="M333" i="4"/>
  <c r="L333" i="4"/>
  <c r="L331" i="4" s="1"/>
  <c r="P332" i="4"/>
  <c r="O332" i="4"/>
  <c r="P329" i="4"/>
  <c r="N329" i="4"/>
  <c r="M329" i="4"/>
  <c r="L329" i="4"/>
  <c r="O329" i="4" s="1"/>
  <c r="I327" i="4"/>
  <c r="I325" i="4"/>
  <c r="N323" i="4"/>
  <c r="N321" i="4" s="1"/>
  <c r="M323" i="4"/>
  <c r="M321" i="4" s="1"/>
  <c r="P321" i="4" s="1"/>
  <c r="L323" i="4"/>
  <c r="L321" i="4" s="1"/>
  <c r="O321" i="4" s="1"/>
  <c r="P322" i="4"/>
  <c r="O322" i="4"/>
  <c r="N320" i="4"/>
  <c r="M320" i="4"/>
  <c r="P320" i="4" s="1"/>
  <c r="L320" i="4"/>
  <c r="L318" i="4" s="1"/>
  <c r="O318" i="4" s="1"/>
  <c r="P319" i="4"/>
  <c r="O319" i="4"/>
  <c r="P316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O306" i="4" s="1"/>
  <c r="P305" i="4"/>
  <c r="O305" i="4"/>
  <c r="N303" i="4"/>
  <c r="N301" i="4" s="1"/>
  <c r="M303" i="4"/>
  <c r="M301" i="4" s="1"/>
  <c r="L303" i="4"/>
  <c r="P302" i="4"/>
  <c r="O302" i="4"/>
  <c r="N299" i="4"/>
  <c r="M299" i="4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I287" i="4"/>
  <c r="N285" i="4"/>
  <c r="N283" i="4" s="1"/>
  <c r="M285" i="4"/>
  <c r="P285" i="4" s="1"/>
  <c r="L285" i="4"/>
  <c r="L283" i="4" s="1"/>
  <c r="O283" i="4" s="1"/>
  <c r="P284" i="4"/>
  <c r="O284" i="4"/>
  <c r="N282" i="4"/>
  <c r="M282" i="4"/>
  <c r="M280" i="4" s="1"/>
  <c r="L282" i="4"/>
  <c r="L280" i="4" s="1"/>
  <c r="P281" i="4"/>
  <c r="O281" i="4"/>
  <c r="O278" i="4"/>
  <c r="N278" i="4"/>
  <c r="M278" i="4"/>
  <c r="P278" i="4" s="1"/>
  <c r="L278" i="4"/>
  <c r="J276" i="4"/>
  <c r="I271" i="4"/>
  <c r="K271" i="4" s="1"/>
  <c r="N269" i="4"/>
  <c r="N267" i="4" s="1"/>
  <c r="M269" i="4"/>
  <c r="P269" i="4" s="1"/>
  <c r="L269" i="4"/>
  <c r="L267" i="4" s="1"/>
  <c r="O267" i="4" s="1"/>
  <c r="P268" i="4"/>
  <c r="O268" i="4"/>
  <c r="N266" i="4"/>
  <c r="N264" i="4" s="1"/>
  <c r="M266" i="4"/>
  <c r="M264" i="4" s="1"/>
  <c r="L266" i="4"/>
  <c r="L264" i="4" s="1"/>
  <c r="P265" i="4"/>
  <c r="O265" i="4"/>
  <c r="N262" i="4"/>
  <c r="M262" i="4"/>
  <c r="P262" i="4" s="1"/>
  <c r="L262" i="4"/>
  <c r="O262" i="4" s="1"/>
  <c r="J260" i="4"/>
  <c r="K258" i="4"/>
  <c r="K257" i="4"/>
  <c r="I255" i="4"/>
  <c r="I248" i="4" s="1"/>
  <c r="L253" i="4"/>
  <c r="L252" i="4"/>
  <c r="L251" i="4"/>
  <c r="L250" i="4"/>
  <c r="P249" i="4"/>
  <c r="N249" i="4"/>
  <c r="J248" i="4"/>
  <c r="K247" i="4"/>
  <c r="K246" i="4"/>
  <c r="I244" i="4"/>
  <c r="I237" i="4" s="1"/>
  <c r="L242" i="4"/>
  <c r="L241" i="4"/>
  <c r="L240" i="4"/>
  <c r="N239" i="4"/>
  <c r="N228" i="4" s="1"/>
  <c r="L239" i="4"/>
  <c r="P238" i="4"/>
  <c r="N238" i="4"/>
  <c r="N227" i="4" s="1"/>
  <c r="J237" i="4"/>
  <c r="J236" i="4"/>
  <c r="K236" i="4" s="1"/>
  <c r="I236" i="4"/>
  <c r="J235" i="4"/>
  <c r="K235" i="4" s="1"/>
  <c r="I235" i="4"/>
  <c r="J233" i="4"/>
  <c r="N231" i="4"/>
  <c r="N230" i="4"/>
  <c r="N229" i="4"/>
  <c r="I225" i="4"/>
  <c r="K225" i="4" s="1"/>
  <c r="I224" i="4"/>
  <c r="I216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M187" i="4" s="1"/>
  <c r="P187" i="4" s="1"/>
  <c r="L189" i="4"/>
  <c r="O189" i="4" s="1"/>
  <c r="P188" i="4"/>
  <c r="O188" i="4"/>
  <c r="N186" i="4"/>
  <c r="N184" i="4" s="1"/>
  <c r="M186" i="4"/>
  <c r="M184" i="4" s="1"/>
  <c r="L186" i="4"/>
  <c r="P185" i="4"/>
  <c r="O185" i="4"/>
  <c r="P182" i="4"/>
  <c r="O182" i="4"/>
  <c r="N182" i="4"/>
  <c r="M182" i="4"/>
  <c r="L182" i="4"/>
  <c r="J177" i="4"/>
  <c r="J164" i="4" s="1"/>
  <c r="I176" i="4"/>
  <c r="K176" i="4" s="1"/>
  <c r="J174" i="4"/>
  <c r="N173" i="4"/>
  <c r="N171" i="4" s="1"/>
  <c r="M173" i="4"/>
  <c r="L173" i="4"/>
  <c r="P172" i="4"/>
  <c r="O172" i="4"/>
  <c r="N170" i="4"/>
  <c r="N168" i="4" s="1"/>
  <c r="M170" i="4"/>
  <c r="M168" i="4" s="1"/>
  <c r="L170" i="4"/>
  <c r="L168" i="4" s="1"/>
  <c r="P169" i="4"/>
  <c r="O169" i="4"/>
  <c r="N166" i="4"/>
  <c r="M166" i="4"/>
  <c r="L166" i="4"/>
  <c r="I159" i="4"/>
  <c r="K159" i="4" s="1"/>
  <c r="N157" i="4"/>
  <c r="N155" i="4" s="1"/>
  <c r="M157" i="4"/>
  <c r="M155" i="4" s="1"/>
  <c r="P155" i="4" s="1"/>
  <c r="L157" i="4"/>
  <c r="P156" i="4"/>
  <c r="O156" i="4"/>
  <c r="N154" i="4"/>
  <c r="M154" i="4"/>
  <c r="M152" i="4" s="1"/>
  <c r="L154" i="4"/>
  <c r="L152" i="4" s="1"/>
  <c r="P153" i="4"/>
  <c r="O153" i="4"/>
  <c r="P150" i="4"/>
  <c r="N150" i="4"/>
  <c r="M150" i="4"/>
  <c r="L150" i="4"/>
  <c r="O150" i="4" s="1"/>
  <c r="J148" i="4"/>
  <c r="I146" i="4"/>
  <c r="I130" i="4" s="1"/>
  <c r="K130" i="4" s="1"/>
  <c r="I145" i="4"/>
  <c r="I144" i="4"/>
  <c r="N140" i="4"/>
  <c r="N138" i="4" s="1"/>
  <c r="M140" i="4"/>
  <c r="M138" i="4" s="1"/>
  <c r="L140" i="4"/>
  <c r="L138" i="4" s="1"/>
  <c r="P139" i="4"/>
  <c r="O139" i="4"/>
  <c r="N137" i="4"/>
  <c r="N135" i="4" s="1"/>
  <c r="M137" i="4"/>
  <c r="L137" i="4"/>
  <c r="L135" i="4" s="1"/>
  <c r="P136" i="4"/>
  <c r="O136" i="4"/>
  <c r="N133" i="4"/>
  <c r="M133" i="4"/>
  <c r="P133" i="4" s="1"/>
  <c r="L133" i="4"/>
  <c r="O133" i="4" s="1"/>
  <c r="J130" i="4"/>
  <c r="N127" i="4"/>
  <c r="N125" i="4" s="1"/>
  <c r="M127" i="4"/>
  <c r="M125" i="4" s="1"/>
  <c r="P125" i="4" s="1"/>
  <c r="L127" i="4"/>
  <c r="L125" i="4" s="1"/>
  <c r="O125" i="4" s="1"/>
  <c r="P126" i="4"/>
  <c r="O126" i="4"/>
  <c r="N124" i="4"/>
  <c r="M124" i="4"/>
  <c r="P124" i="4" s="1"/>
  <c r="L124" i="4"/>
  <c r="L122" i="4" s="1"/>
  <c r="O122" i="4" s="1"/>
  <c r="P123" i="4"/>
  <c r="O123" i="4"/>
  <c r="P120" i="4"/>
  <c r="O120" i="4"/>
  <c r="N120" i="4"/>
  <c r="M120" i="4"/>
  <c r="L120" i="4"/>
  <c r="K118" i="4"/>
  <c r="J118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J99" i="4"/>
  <c r="I99" i="4"/>
  <c r="I87" i="4" s="1"/>
  <c r="J98" i="4"/>
  <c r="I98" i="4"/>
  <c r="I86" i="4" s="1"/>
  <c r="N96" i="4"/>
  <c r="N94" i="4" s="1"/>
  <c r="M96" i="4"/>
  <c r="P96" i="4" s="1"/>
  <c r="L96" i="4"/>
  <c r="P95" i="4"/>
  <c r="O95" i="4"/>
  <c r="N93" i="4"/>
  <c r="M93" i="4"/>
  <c r="M91" i="4" s="1"/>
  <c r="L93" i="4"/>
  <c r="L91" i="4" s="1"/>
  <c r="P92" i="4"/>
  <c r="O92" i="4"/>
  <c r="P89" i="4"/>
  <c r="O89" i="4"/>
  <c r="N89" i="4"/>
  <c r="M89" i="4"/>
  <c r="L89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J77" i="4"/>
  <c r="J76" i="4"/>
  <c r="N74" i="4"/>
  <c r="N72" i="4" s="1"/>
  <c r="M74" i="4"/>
  <c r="M72" i="4" s="1"/>
  <c r="P72" i="4" s="1"/>
  <c r="L74" i="4"/>
  <c r="O74" i="4" s="1"/>
  <c r="P73" i="4"/>
  <c r="O73" i="4"/>
  <c r="N71" i="4"/>
  <c r="M71" i="4"/>
  <c r="M69" i="4" s="1"/>
  <c r="P69" i="4" s="1"/>
  <c r="L71" i="4"/>
  <c r="P70" i="4"/>
  <c r="O70" i="4"/>
  <c r="O67" i="4"/>
  <c r="N67" i="4"/>
  <c r="M67" i="4"/>
  <c r="P67" i="4" s="1"/>
  <c r="L67" i="4"/>
  <c r="J65" i="4"/>
  <c r="J64" i="4"/>
  <c r="N61" i="4"/>
  <c r="N59" i="4" s="1"/>
  <c r="M61" i="4"/>
  <c r="M59" i="4" s="1"/>
  <c r="L61" i="4"/>
  <c r="L59" i="4" s="1"/>
  <c r="P60" i="4"/>
  <c r="O60" i="4"/>
  <c r="N58" i="4"/>
  <c r="N56" i="4" s="1"/>
  <c r="M58" i="4"/>
  <c r="L58" i="4"/>
  <c r="P57" i="4"/>
  <c r="O57" i="4"/>
  <c r="N54" i="4"/>
  <c r="M54" i="4"/>
  <c r="L54" i="4"/>
  <c r="O54" i="4" s="1"/>
  <c r="N49" i="4"/>
  <c r="N47" i="4" s="1"/>
  <c r="M49" i="4"/>
  <c r="M47" i="4" s="1"/>
  <c r="P47" i="4" s="1"/>
  <c r="L49" i="4"/>
  <c r="O49" i="4" s="1"/>
  <c r="P48" i="4"/>
  <c r="O48" i="4"/>
  <c r="N46" i="4"/>
  <c r="M46" i="4"/>
  <c r="M44" i="4" s="1"/>
  <c r="L46" i="4"/>
  <c r="P45" i="4"/>
  <c r="O45" i="4"/>
  <c r="P42" i="4"/>
  <c r="O42" i="4"/>
  <c r="N42" i="4"/>
  <c r="M42" i="4"/>
  <c r="L42" i="4"/>
  <c r="P36" i="4"/>
  <c r="N36" i="4"/>
  <c r="N34" i="4" s="1"/>
  <c r="M36" i="4"/>
  <c r="O35" i="4"/>
  <c r="N35" i="4"/>
  <c r="M35" i="4"/>
  <c r="M34" i="4" s="1"/>
  <c r="P34" i="4" s="1"/>
  <c r="L35" i="4"/>
  <c r="O32" i="4"/>
  <c r="N32" i="4"/>
  <c r="M32" i="4"/>
  <c r="L32" i="4"/>
  <c r="O29" i="4"/>
  <c r="N29" i="4"/>
  <c r="M29" i="4"/>
  <c r="L29" i="4"/>
  <c r="O25" i="4"/>
  <c r="N25" i="4"/>
  <c r="N15" i="4" s="1"/>
  <c r="M25" i="4"/>
  <c r="P25" i="4" s="1"/>
  <c r="L25" i="4"/>
  <c r="P22" i="4"/>
  <c r="N22" i="4"/>
  <c r="M22" i="4"/>
  <c r="L22" i="4"/>
  <c r="M19" i="4"/>
  <c r="P19" i="4" s="1"/>
  <c r="L15" i="4"/>
  <c r="N12" i="4"/>
  <c r="M12" i="4"/>
  <c r="P12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N807" i="3" s="1"/>
  <c r="N805" i="3" s="1"/>
  <c r="P809" i="3"/>
  <c r="O809" i="3"/>
  <c r="N808" i="3"/>
  <c r="M808" i="3"/>
  <c r="P808" i="3" s="1"/>
  <c r="L808" i="3"/>
  <c r="O808" i="3" s="1"/>
  <c r="M807" i="3"/>
  <c r="P807" i="3" s="1"/>
  <c r="L807" i="3"/>
  <c r="O807" i="3" s="1"/>
  <c r="P806" i="3"/>
  <c r="N806" i="3"/>
  <c r="M806" i="3"/>
  <c r="M805" i="3" s="1"/>
  <c r="P805" i="3" s="1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L789" i="3" s="1"/>
  <c r="O789" i="3" s="1"/>
  <c r="P790" i="3"/>
  <c r="O790" i="3"/>
  <c r="N789" i="3"/>
  <c r="M789" i="3"/>
  <c r="P789" i="3" s="1"/>
  <c r="M788" i="3"/>
  <c r="P788" i="3" s="1"/>
  <c r="P787" i="3"/>
  <c r="N787" i="3"/>
  <c r="M787" i="3"/>
  <c r="M786" i="3" s="1"/>
  <c r="P786" i="3" s="1"/>
  <c r="L787" i="3"/>
  <c r="P782" i="3"/>
  <c r="O782" i="3"/>
  <c r="P781" i="3"/>
  <c r="O781" i="3"/>
  <c r="P780" i="3"/>
  <c r="O780" i="3"/>
  <c r="N780" i="3"/>
  <c r="M780" i="3"/>
  <c r="L780" i="3"/>
  <c r="P775" i="3"/>
  <c r="O775" i="3"/>
  <c r="N775" i="3"/>
  <c r="P774" i="3"/>
  <c r="O774" i="3"/>
  <c r="O773" i="3"/>
  <c r="N773" i="3"/>
  <c r="M773" i="3"/>
  <c r="P773" i="3" s="1"/>
  <c r="L773" i="3"/>
  <c r="N772" i="3"/>
  <c r="M772" i="3"/>
  <c r="P772" i="3" s="1"/>
  <c r="L772" i="3"/>
  <c r="O772" i="3" s="1"/>
  <c r="N771" i="3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P758" i="3"/>
  <c r="O758" i="3"/>
  <c r="O757" i="3"/>
  <c r="N757" i="3"/>
  <c r="M757" i="3"/>
  <c r="P757" i="3" s="1"/>
  <c r="L757" i="3"/>
  <c r="N756" i="3"/>
  <c r="M756" i="3"/>
  <c r="P756" i="3" s="1"/>
  <c r="L756" i="3"/>
  <c r="O756" i="3" s="1"/>
  <c r="N755" i="3"/>
  <c r="N754" i="3" s="1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O747" i="3"/>
  <c r="N747" i="3"/>
  <c r="M747" i="3"/>
  <c r="L747" i="3"/>
  <c r="P742" i="3"/>
  <c r="O742" i="3"/>
  <c r="N742" i="3"/>
  <c r="P741" i="3"/>
  <c r="O741" i="3"/>
  <c r="O740" i="3"/>
  <c r="N740" i="3"/>
  <c r="M740" i="3"/>
  <c r="P740" i="3" s="1"/>
  <c r="L740" i="3"/>
  <c r="N739" i="3"/>
  <c r="M739" i="3"/>
  <c r="P739" i="3" s="1"/>
  <c r="L739" i="3"/>
  <c r="O739" i="3" s="1"/>
  <c r="N738" i="3"/>
  <c r="M738" i="3"/>
  <c r="L738" i="3"/>
  <c r="O738" i="3" s="1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P695" i="3"/>
  <c r="O695" i="3"/>
  <c r="N695" i="3"/>
  <c r="M695" i="3"/>
  <c r="L695" i="3"/>
  <c r="N690" i="3"/>
  <c r="L690" i="3"/>
  <c r="M690" i="3" s="1"/>
  <c r="P690" i="3" s="1"/>
  <c r="N688" i="3"/>
  <c r="N687" i="3"/>
  <c r="N686" i="3"/>
  <c r="N685" i="3" s="1"/>
  <c r="M686" i="3"/>
  <c r="L686" i="3"/>
  <c r="O686" i="3" s="1"/>
  <c r="J679" i="3"/>
  <c r="J678" i="3" s="1"/>
  <c r="I678" i="3"/>
  <c r="K678" i="3" s="1"/>
  <c r="J675" i="3"/>
  <c r="J669" i="3" s="1"/>
  <c r="I671" i="3"/>
  <c r="K671" i="3" s="1"/>
  <c r="I670" i="3"/>
  <c r="K670" i="3" s="1"/>
  <c r="I669" i="3"/>
  <c r="K674" i="3" s="1"/>
  <c r="P667" i="3"/>
  <c r="O667" i="3"/>
  <c r="P666" i="3"/>
  <c r="O666" i="3"/>
  <c r="N665" i="3"/>
  <c r="M665" i="3"/>
  <c r="P665" i="3" s="1"/>
  <c r="L665" i="3"/>
  <c r="O665" i="3" s="1"/>
  <c r="N660" i="3"/>
  <c r="L660" i="3"/>
  <c r="L657" i="3" s="1"/>
  <c r="P659" i="3"/>
  <c r="O659" i="3"/>
  <c r="N658" i="3"/>
  <c r="N657" i="3"/>
  <c r="P656" i="3"/>
  <c r="O656" i="3"/>
  <c r="N656" i="3"/>
  <c r="N655" i="3" s="1"/>
  <c r="M656" i="3"/>
  <c r="L656" i="3"/>
  <c r="J654" i="3"/>
  <c r="K652" i="3"/>
  <c r="J652" i="3"/>
  <c r="J651" i="3"/>
  <c r="J628" i="3" s="1"/>
  <c r="I651" i="3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O634" i="3" s="1"/>
  <c r="P633" i="3"/>
  <c r="O633" i="3"/>
  <c r="N632" i="3"/>
  <c r="M632" i="3"/>
  <c r="P632" i="3" s="1"/>
  <c r="N631" i="3"/>
  <c r="N629" i="3" s="1"/>
  <c r="M631" i="3"/>
  <c r="P631" i="3" s="1"/>
  <c r="N630" i="3"/>
  <c r="M630" i="3"/>
  <c r="L630" i="3"/>
  <c r="O630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J592" i="3" s="1"/>
  <c r="I593" i="3"/>
  <c r="I592" i="3" s="1"/>
  <c r="K592" i="3" s="1"/>
  <c r="J583" i="3"/>
  <c r="J582" i="3"/>
  <c r="J576" i="3" s="1"/>
  <c r="J559" i="3" s="1"/>
  <c r="J543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M555" i="3"/>
  <c r="N553" i="3"/>
  <c r="N549" i="3" s="1"/>
  <c r="N546" i="3" s="1"/>
  <c r="N544" i="3" s="1"/>
  <c r="L549" i="3"/>
  <c r="L547" i="3" s="1"/>
  <c r="P548" i="3"/>
  <c r="O548" i="3"/>
  <c r="N547" i="3"/>
  <c r="N545" i="3"/>
  <c r="L545" i="3"/>
  <c r="I542" i="3"/>
  <c r="K542" i="3" s="1"/>
  <c r="I541" i="3"/>
  <c r="K541" i="3" s="1"/>
  <c r="I540" i="3"/>
  <c r="K540" i="3" s="1"/>
  <c r="I539" i="3"/>
  <c r="K539" i="3" s="1"/>
  <c r="I538" i="3"/>
  <c r="I537" i="3"/>
  <c r="K537" i="3" s="1"/>
  <c r="P535" i="3"/>
  <c r="L535" i="3"/>
  <c r="P534" i="3"/>
  <c r="O534" i="3"/>
  <c r="N533" i="3"/>
  <c r="M533" i="3"/>
  <c r="P533" i="3" s="1"/>
  <c r="P528" i="3"/>
  <c r="N528" i="3"/>
  <c r="L528" i="3"/>
  <c r="P527" i="3"/>
  <c r="O527" i="3"/>
  <c r="P526" i="3"/>
  <c r="N526" i="3"/>
  <c r="M526" i="3"/>
  <c r="P525" i="3"/>
  <c r="N525" i="3"/>
  <c r="M525" i="3"/>
  <c r="P524" i="3"/>
  <c r="O524" i="3"/>
  <c r="N524" i="3"/>
  <c r="M524" i="3"/>
  <c r="M523" i="3" s="1"/>
  <c r="P523" i="3" s="1"/>
  <c r="L524" i="3"/>
  <c r="N523" i="3"/>
  <c r="K517" i="3"/>
  <c r="J517" i="3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N505" i="3" s="1"/>
  <c r="P506" i="3"/>
  <c r="O506" i="3"/>
  <c r="P505" i="3"/>
  <c r="O505" i="3"/>
  <c r="M505" i="3"/>
  <c r="L505" i="3"/>
  <c r="O504" i="3"/>
  <c r="N504" i="3"/>
  <c r="M504" i="3"/>
  <c r="P504" i="3" s="1"/>
  <c r="L504" i="3"/>
  <c r="N503" i="3"/>
  <c r="N502" i="3" s="1"/>
  <c r="M503" i="3"/>
  <c r="P503" i="3" s="1"/>
  <c r="L503" i="3"/>
  <c r="O503" i="3" s="1"/>
  <c r="M502" i="3"/>
  <c r="P502" i="3" s="1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P477" i="3"/>
  <c r="N477" i="3"/>
  <c r="M477" i="3"/>
  <c r="N476" i="3"/>
  <c r="N472" i="3" s="1"/>
  <c r="L472" i="3"/>
  <c r="L470" i="3" s="1"/>
  <c r="P471" i="3"/>
  <c r="O471" i="3"/>
  <c r="P468" i="3"/>
  <c r="O468" i="3"/>
  <c r="N468" i="3"/>
  <c r="M468" i="3"/>
  <c r="L468" i="3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60" i="3" s="1"/>
  <c r="K458" i="3"/>
  <c r="P456" i="3"/>
  <c r="L456" i="3"/>
  <c r="L454" i="3" s="1"/>
  <c r="O454" i="3" s="1"/>
  <c r="P455" i="3"/>
  <c r="O455" i="3"/>
  <c r="N454" i="3"/>
  <c r="M454" i="3"/>
  <c r="P454" i="3" s="1"/>
  <c r="P449" i="3"/>
  <c r="N449" i="3"/>
  <c r="L449" i="3"/>
  <c r="P448" i="3"/>
  <c r="O448" i="3"/>
  <c r="N447" i="3"/>
  <c r="M447" i="3"/>
  <c r="P447" i="3" s="1"/>
  <c r="N446" i="3"/>
  <c r="M446" i="3"/>
  <c r="P446" i="3" s="1"/>
  <c r="P445" i="3"/>
  <c r="N445" i="3"/>
  <c r="N444" i="3" s="1"/>
  <c r="M445" i="3"/>
  <c r="L445" i="3"/>
  <c r="O445" i="3" s="1"/>
  <c r="P444" i="3"/>
  <c r="M444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K435" i="3" s="1"/>
  <c r="J434" i="3"/>
  <c r="J418" i="3" s="1"/>
  <c r="P431" i="3"/>
  <c r="L431" i="3"/>
  <c r="L429" i="3" s="1"/>
  <c r="O429" i="3" s="1"/>
  <c r="P430" i="3"/>
  <c r="O430" i="3"/>
  <c r="N429" i="3"/>
  <c r="M429" i="3"/>
  <c r="P429" i="3" s="1"/>
  <c r="N424" i="3"/>
  <c r="L424" i="3"/>
  <c r="L421" i="3" s="1"/>
  <c r="O421" i="3" s="1"/>
  <c r="P423" i="3"/>
  <c r="O423" i="3"/>
  <c r="N422" i="3"/>
  <c r="N421" i="3"/>
  <c r="N420" i="3"/>
  <c r="M420" i="3"/>
  <c r="P420" i="3" s="1"/>
  <c r="L420" i="3"/>
  <c r="N419" i="3"/>
  <c r="K413" i="3"/>
  <c r="K412" i="3"/>
  <c r="N410" i="3"/>
  <c r="N408" i="3" s="1"/>
  <c r="M410" i="3"/>
  <c r="L410" i="3"/>
  <c r="O410" i="3" s="1"/>
  <c r="P409" i="3"/>
  <c r="O409" i="3"/>
  <c r="N407" i="3"/>
  <c r="M407" i="3"/>
  <c r="P407" i="3" s="1"/>
  <c r="L407" i="3"/>
  <c r="O407" i="3" s="1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L397" i="3"/>
  <c r="P396" i="3"/>
  <c r="O396" i="3"/>
  <c r="N394" i="3"/>
  <c r="M394" i="3"/>
  <c r="P394" i="3" s="1"/>
  <c r="L394" i="3"/>
  <c r="P393" i="3"/>
  <c r="O393" i="3"/>
  <c r="N390" i="3"/>
  <c r="M390" i="3"/>
  <c r="P390" i="3" s="1"/>
  <c r="L390" i="3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P352" i="3"/>
  <c r="O352" i="3"/>
  <c r="N350" i="3"/>
  <c r="N348" i="3" s="1"/>
  <c r="M350" i="3"/>
  <c r="M348" i="3" s="1"/>
  <c r="L350" i="3"/>
  <c r="P349" i="3"/>
  <c r="O349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N331" i="3" s="1"/>
  <c r="M333" i="3"/>
  <c r="M331" i="3" s="1"/>
  <c r="L333" i="3"/>
  <c r="P332" i="3"/>
  <c r="O332" i="3"/>
  <c r="O329" i="3"/>
  <c r="N329" i="3"/>
  <c r="M329" i="3"/>
  <c r="L329" i="3"/>
  <c r="I327" i="3"/>
  <c r="I325" i="3"/>
  <c r="K325" i="3" s="1"/>
  <c r="N323" i="3"/>
  <c r="N321" i="3" s="1"/>
  <c r="M323" i="3"/>
  <c r="P323" i="3" s="1"/>
  <c r="L323" i="3"/>
  <c r="L321" i="3" s="1"/>
  <c r="O321" i="3" s="1"/>
  <c r="P322" i="3"/>
  <c r="O322" i="3"/>
  <c r="N320" i="3"/>
  <c r="M320" i="3"/>
  <c r="P320" i="3" s="1"/>
  <c r="L320" i="3"/>
  <c r="L318" i="3" s="1"/>
  <c r="O318" i="3" s="1"/>
  <c r="P319" i="3"/>
  <c r="O319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I297" i="3" s="1"/>
  <c r="K297" i="3" s="1"/>
  <c r="N306" i="3"/>
  <c r="N304" i="3" s="1"/>
  <c r="M306" i="3"/>
  <c r="L306" i="3"/>
  <c r="P305" i="3"/>
  <c r="O305" i="3"/>
  <c r="N303" i="3"/>
  <c r="N301" i="3" s="1"/>
  <c r="M303" i="3"/>
  <c r="P303" i="3" s="1"/>
  <c r="L303" i="3"/>
  <c r="P302" i="3"/>
  <c r="O302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K275" i="3" s="1"/>
  <c r="I287" i="3"/>
  <c r="K287" i="3" s="1"/>
  <c r="N285" i="3"/>
  <c r="N283" i="3" s="1"/>
  <c r="M285" i="3"/>
  <c r="L285" i="3"/>
  <c r="L283" i="3" s="1"/>
  <c r="O283" i="3" s="1"/>
  <c r="P284" i="3"/>
  <c r="O284" i="3"/>
  <c r="N282" i="3"/>
  <c r="N280" i="3" s="1"/>
  <c r="M282" i="3"/>
  <c r="L282" i="3"/>
  <c r="O282" i="3" s="1"/>
  <c r="P281" i="3"/>
  <c r="O281" i="3"/>
  <c r="P278" i="3"/>
  <c r="N278" i="3"/>
  <c r="M278" i="3"/>
  <c r="L278" i="3"/>
  <c r="O278" i="3" s="1"/>
  <c r="J276" i="3"/>
  <c r="I271" i="3"/>
  <c r="N269" i="3"/>
  <c r="N267" i="3" s="1"/>
  <c r="M269" i="3"/>
  <c r="P269" i="3" s="1"/>
  <c r="L269" i="3"/>
  <c r="P268" i="3"/>
  <c r="O268" i="3"/>
  <c r="N266" i="3"/>
  <c r="M266" i="3"/>
  <c r="M264" i="3" s="1"/>
  <c r="L266" i="3"/>
  <c r="P265" i="3"/>
  <c r="O265" i="3"/>
  <c r="O262" i="3"/>
  <c r="N262" i="3"/>
  <c r="M262" i="3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K247" i="3"/>
  <c r="K246" i="3"/>
  <c r="I244" i="3"/>
  <c r="L242" i="3"/>
  <c r="L241" i="3"/>
  <c r="N240" i="3"/>
  <c r="N229" i="3" s="1"/>
  <c r="L240" i="3"/>
  <c r="N239" i="3"/>
  <c r="L239" i="3"/>
  <c r="L228" i="3" s="1"/>
  <c r="P238" i="3"/>
  <c r="N238" i="3"/>
  <c r="N227" i="3" s="1"/>
  <c r="J237" i="3"/>
  <c r="J236" i="3"/>
  <c r="I236" i="3"/>
  <c r="K236" i="3" s="1"/>
  <c r="J235" i="3"/>
  <c r="I235" i="3"/>
  <c r="J233" i="3"/>
  <c r="N231" i="3"/>
  <c r="N230" i="3"/>
  <c r="N228" i="3"/>
  <c r="J226" i="3"/>
  <c r="I225" i="3"/>
  <c r="K225" i="3" s="1"/>
  <c r="I224" i="3"/>
  <c r="I216" i="3" s="1"/>
  <c r="K216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K197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M187" i="3" s="1"/>
  <c r="P187" i="3" s="1"/>
  <c r="L189" i="3"/>
  <c r="L187" i="3" s="1"/>
  <c r="O187" i="3" s="1"/>
  <c r="P188" i="3"/>
  <c r="O188" i="3"/>
  <c r="N186" i="3"/>
  <c r="N184" i="3" s="1"/>
  <c r="M186" i="3"/>
  <c r="M184" i="3" s="1"/>
  <c r="L186" i="3"/>
  <c r="L184" i="3" s="1"/>
  <c r="P185" i="3"/>
  <c r="O185" i="3"/>
  <c r="O182" i="3"/>
  <c r="N182" i="3"/>
  <c r="M182" i="3"/>
  <c r="P182" i="3" s="1"/>
  <c r="L182" i="3"/>
  <c r="J180" i="3"/>
  <c r="J177" i="3"/>
  <c r="I176" i="3"/>
  <c r="I174" i="3" s="1"/>
  <c r="I164" i="3" s="1"/>
  <c r="K164" i="3" s="1"/>
  <c r="J174" i="3"/>
  <c r="N173" i="3"/>
  <c r="N171" i="3" s="1"/>
  <c r="M173" i="3"/>
  <c r="M171" i="3" s="1"/>
  <c r="P171" i="3" s="1"/>
  <c r="L173" i="3"/>
  <c r="L171" i="3" s="1"/>
  <c r="O171" i="3" s="1"/>
  <c r="P172" i="3"/>
  <c r="O172" i="3"/>
  <c r="N170" i="3"/>
  <c r="N168" i="3" s="1"/>
  <c r="M170" i="3"/>
  <c r="M168" i="3" s="1"/>
  <c r="L170" i="3"/>
  <c r="L168" i="3" s="1"/>
  <c r="P169" i="3"/>
  <c r="O169" i="3"/>
  <c r="O166" i="3"/>
  <c r="N166" i="3"/>
  <c r="M166" i="3"/>
  <c r="P166" i="3" s="1"/>
  <c r="L166" i="3"/>
  <c r="J164" i="3"/>
  <c r="I159" i="3"/>
  <c r="I148" i="3" s="1"/>
  <c r="K148" i="3" s="1"/>
  <c r="N157" i="3"/>
  <c r="N155" i="3" s="1"/>
  <c r="M157" i="3"/>
  <c r="P157" i="3" s="1"/>
  <c r="L157" i="3"/>
  <c r="O157" i="3" s="1"/>
  <c r="P156" i="3"/>
  <c r="O156" i="3"/>
  <c r="N154" i="3"/>
  <c r="N152" i="3" s="1"/>
  <c r="M154" i="3"/>
  <c r="M152" i="3" s="1"/>
  <c r="L154" i="3"/>
  <c r="L152" i="3" s="1"/>
  <c r="O152" i="3" s="1"/>
  <c r="P153" i="3"/>
  <c r="O153" i="3"/>
  <c r="O150" i="3"/>
  <c r="N150" i="3"/>
  <c r="M150" i="3"/>
  <c r="P150" i="3" s="1"/>
  <c r="L150" i="3"/>
  <c r="J148" i="3"/>
  <c r="I146" i="3"/>
  <c r="K146" i="3" s="1"/>
  <c r="I145" i="3"/>
  <c r="I143" i="3" s="1"/>
  <c r="I131" i="3" s="1"/>
  <c r="K131" i="3" s="1"/>
  <c r="I144" i="3"/>
  <c r="N140" i="3"/>
  <c r="N138" i="3" s="1"/>
  <c r="M140" i="3"/>
  <c r="P140" i="3" s="1"/>
  <c r="L140" i="3"/>
  <c r="L138" i="3" s="1"/>
  <c r="O138" i="3" s="1"/>
  <c r="P139" i="3"/>
  <c r="O139" i="3"/>
  <c r="N137" i="3"/>
  <c r="N135" i="3" s="1"/>
  <c r="M137" i="3"/>
  <c r="P137" i="3" s="1"/>
  <c r="L137" i="3"/>
  <c r="L135" i="3" s="1"/>
  <c r="O135" i="3" s="1"/>
  <c r="P136" i="3"/>
  <c r="O136" i="3"/>
  <c r="P133" i="3"/>
  <c r="N133" i="3"/>
  <c r="M133" i="3"/>
  <c r="L133" i="3"/>
  <c r="O133" i="3" s="1"/>
  <c r="J130" i="3"/>
  <c r="N127" i="3"/>
  <c r="N125" i="3" s="1"/>
  <c r="M127" i="3"/>
  <c r="P127" i="3" s="1"/>
  <c r="L127" i="3"/>
  <c r="O127" i="3" s="1"/>
  <c r="P126" i="3"/>
  <c r="O126" i="3"/>
  <c r="N124" i="3"/>
  <c r="N122" i="3" s="1"/>
  <c r="M124" i="3"/>
  <c r="P124" i="3" s="1"/>
  <c r="L124" i="3"/>
  <c r="O124" i="3" s="1"/>
  <c r="P123" i="3"/>
  <c r="O123" i="3"/>
  <c r="P120" i="3"/>
  <c r="O120" i="3"/>
  <c r="N120" i="3"/>
  <c r="M120" i="3"/>
  <c r="L120" i="3"/>
  <c r="J118" i="3"/>
  <c r="K118" i="3" s="1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K99" i="3" s="1"/>
  <c r="J98" i="3"/>
  <c r="I98" i="3"/>
  <c r="K98" i="3" s="1"/>
  <c r="N96" i="3"/>
  <c r="N94" i="3" s="1"/>
  <c r="M96" i="3"/>
  <c r="P96" i="3" s="1"/>
  <c r="L96" i="3"/>
  <c r="L94" i="3" s="1"/>
  <c r="O94" i="3" s="1"/>
  <c r="P95" i="3"/>
  <c r="O95" i="3"/>
  <c r="N93" i="3"/>
  <c r="N91" i="3" s="1"/>
  <c r="M93" i="3"/>
  <c r="L93" i="3"/>
  <c r="P92" i="3"/>
  <c r="O92" i="3"/>
  <c r="O89" i="3"/>
  <c r="N89" i="3"/>
  <c r="M89" i="3"/>
  <c r="P89" i="3" s="1"/>
  <c r="L89" i="3"/>
  <c r="J87" i="3"/>
  <c r="J86" i="3"/>
  <c r="I84" i="3"/>
  <c r="K84" i="3" s="1"/>
  <c r="I83" i="3"/>
  <c r="K83" i="3" s="1"/>
  <c r="I82" i="3"/>
  <c r="K82" i="3" s="1"/>
  <c r="I81" i="3"/>
  <c r="K81" i="3" s="1"/>
  <c r="I80" i="3"/>
  <c r="I79" i="3"/>
  <c r="K79" i="3" s="1"/>
  <c r="I78" i="3"/>
  <c r="K78" i="3" s="1"/>
  <c r="J77" i="3"/>
  <c r="J65" i="3" s="1"/>
  <c r="J76" i="3"/>
  <c r="N74" i="3"/>
  <c r="N72" i="3" s="1"/>
  <c r="M74" i="3"/>
  <c r="M72" i="3" s="1"/>
  <c r="P72" i="3" s="1"/>
  <c r="L74" i="3"/>
  <c r="L72" i="3" s="1"/>
  <c r="O72" i="3" s="1"/>
  <c r="P73" i="3"/>
  <c r="O73" i="3"/>
  <c r="N71" i="3"/>
  <c r="N69" i="3" s="1"/>
  <c r="M71" i="3"/>
  <c r="L71" i="3"/>
  <c r="L69" i="3" s="1"/>
  <c r="O69" i="3" s="1"/>
  <c r="P70" i="3"/>
  <c r="O70" i="3"/>
  <c r="N67" i="3"/>
  <c r="M67" i="3"/>
  <c r="P67" i="3" s="1"/>
  <c r="L67" i="3"/>
  <c r="O67" i="3" s="1"/>
  <c r="J64" i="3"/>
  <c r="N61" i="3"/>
  <c r="N59" i="3" s="1"/>
  <c r="M61" i="3"/>
  <c r="L61" i="3"/>
  <c r="O61" i="3" s="1"/>
  <c r="P60" i="3"/>
  <c r="O60" i="3"/>
  <c r="N58" i="3"/>
  <c r="M58" i="3"/>
  <c r="M56" i="3" s="1"/>
  <c r="L58" i="3"/>
  <c r="P57" i="3"/>
  <c r="O57" i="3"/>
  <c r="O54" i="3"/>
  <c r="N54" i="3"/>
  <c r="M54" i="3"/>
  <c r="P54" i="3" s="1"/>
  <c r="L54" i="3"/>
  <c r="N49" i="3"/>
  <c r="N47" i="3" s="1"/>
  <c r="M49" i="3"/>
  <c r="M47" i="3" s="1"/>
  <c r="P47" i="3" s="1"/>
  <c r="L49" i="3"/>
  <c r="O49" i="3" s="1"/>
  <c r="P48" i="3"/>
  <c r="O48" i="3"/>
  <c r="N46" i="3"/>
  <c r="N44" i="3" s="1"/>
  <c r="M46" i="3"/>
  <c r="M44" i="3" s="1"/>
  <c r="L46" i="3"/>
  <c r="P45" i="3"/>
  <c r="O45" i="3"/>
  <c r="O42" i="3"/>
  <c r="N42" i="3"/>
  <c r="M42" i="3"/>
  <c r="P42" i="3" s="1"/>
  <c r="L42" i="3"/>
  <c r="P36" i="3"/>
  <c r="N36" i="3"/>
  <c r="M36" i="3"/>
  <c r="P35" i="3"/>
  <c r="O35" i="3"/>
  <c r="N35" i="3"/>
  <c r="M35" i="3"/>
  <c r="L35" i="3"/>
  <c r="N34" i="3"/>
  <c r="M34" i="3"/>
  <c r="P34" i="3" s="1"/>
  <c r="N33" i="3"/>
  <c r="O32" i="3"/>
  <c r="N32" i="3"/>
  <c r="N29" i="3" s="1"/>
  <c r="N28" i="3" s="1"/>
  <c r="M32" i="3"/>
  <c r="P32" i="3" s="1"/>
  <c r="L32" i="3"/>
  <c r="N31" i="3"/>
  <c r="N30" i="3"/>
  <c r="M29" i="3"/>
  <c r="P29" i="3" s="1"/>
  <c r="L29" i="3"/>
  <c r="O29" i="3" s="1"/>
  <c r="P25" i="3"/>
  <c r="O25" i="3"/>
  <c r="N25" i="3"/>
  <c r="N15" i="3" s="1"/>
  <c r="M25" i="3"/>
  <c r="L25" i="3"/>
  <c r="N22" i="3"/>
  <c r="M22" i="3"/>
  <c r="P22" i="3" s="1"/>
  <c r="L22" i="3"/>
  <c r="O22" i="3" s="1"/>
  <c r="N19" i="3"/>
  <c r="M15" i="3"/>
  <c r="P15" i="3" s="1"/>
  <c r="L15" i="3"/>
  <c r="O15" i="3" s="1"/>
  <c r="N12" i="3"/>
  <c r="N9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O791" i="2" s="1"/>
  <c r="P790" i="2"/>
  <c r="O790" i="2"/>
  <c r="P789" i="2"/>
  <c r="N789" i="2"/>
  <c r="M789" i="2"/>
  <c r="L789" i="2"/>
  <c r="O789" i="2" s="1"/>
  <c r="M788" i="2"/>
  <c r="P787" i="2"/>
  <c r="N787" i="2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N773" i="2" s="1"/>
  <c r="P774" i="2"/>
  <c r="O774" i="2"/>
  <c r="O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7" i="2" s="1"/>
  <c r="P758" i="2"/>
  <c r="O758" i="2"/>
  <c r="O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N740" i="2" s="1"/>
  <c r="P741" i="2"/>
  <c r="O741" i="2"/>
  <c r="O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N690" i="2"/>
  <c r="N688" i="2" s="1"/>
  <c r="L690" i="2"/>
  <c r="O690" i="2" s="1"/>
  <c r="N687" i="2"/>
  <c r="N685" i="2" s="1"/>
  <c r="O686" i="2"/>
  <c r="N686" i="2"/>
  <c r="M686" i="2"/>
  <c r="L686" i="2"/>
  <c r="J679" i="2"/>
  <c r="J678" i="2"/>
  <c r="I678" i="2"/>
  <c r="K678" i="2" s="1"/>
  <c r="J675" i="2"/>
  <c r="J669" i="2" s="1"/>
  <c r="I671" i="2"/>
  <c r="K671" i="2" s="1"/>
  <c r="I670" i="2"/>
  <c r="K670" i="2" s="1"/>
  <c r="I669" i="2"/>
  <c r="K674" i="2" s="1"/>
  <c r="P667" i="2"/>
  <c r="O667" i="2"/>
  <c r="P666" i="2"/>
  <c r="O666" i="2"/>
  <c r="O665" i="2"/>
  <c r="N665" i="2"/>
  <c r="M665" i="2"/>
  <c r="P665" i="2" s="1"/>
  <c r="L665" i="2"/>
  <c r="N660" i="2"/>
  <c r="N658" i="2" s="1"/>
  <c r="L660" i="2"/>
  <c r="P659" i="2"/>
  <c r="O659" i="2"/>
  <c r="N657" i="2"/>
  <c r="O656" i="2"/>
  <c r="N656" i="2"/>
  <c r="N655" i="2" s="1"/>
  <c r="M656" i="2"/>
  <c r="P656" i="2" s="1"/>
  <c r="L656" i="2"/>
  <c r="J654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4" i="2"/>
  <c r="L634" i="2"/>
  <c r="P633" i="2"/>
  <c r="O633" i="2"/>
  <c r="N632" i="2"/>
  <c r="N631" i="2"/>
  <c r="P630" i="2"/>
  <c r="N630" i="2"/>
  <c r="N629" i="2" s="1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3" i="2" s="1"/>
  <c r="J594" i="2"/>
  <c r="I594" i="2"/>
  <c r="I593" i="2"/>
  <c r="I592" i="2" s="1"/>
  <c r="J583" i="2"/>
  <c r="J577" i="2" s="1"/>
  <c r="J582" i="2"/>
  <c r="I577" i="2"/>
  <c r="J576" i="2"/>
  <c r="J559" i="2" s="1"/>
  <c r="J543" i="2" s="1"/>
  <c r="I576" i="2"/>
  <c r="K576" i="2" s="1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P555" i="2"/>
  <c r="N555" i="2"/>
  <c r="M555" i="2"/>
  <c r="M545" i="2" s="1"/>
  <c r="P545" i="2" s="1"/>
  <c r="L555" i="2"/>
  <c r="O555" i="2" s="1"/>
  <c r="N549" i="2"/>
  <c r="L549" i="2"/>
  <c r="P548" i="2"/>
  <c r="O548" i="2"/>
  <c r="N547" i="2"/>
  <c r="N546" i="2"/>
  <c r="N545" i="2"/>
  <c r="N544" i="2" s="1"/>
  <c r="L545" i="2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P534" i="2"/>
  <c r="O534" i="2"/>
  <c r="N533" i="2"/>
  <c r="M533" i="2"/>
  <c r="P533" i="2" s="1"/>
  <c r="N528" i="2"/>
  <c r="N526" i="2" s="1"/>
  <c r="L528" i="2"/>
  <c r="L525" i="2" s="1"/>
  <c r="O525" i="2" s="1"/>
  <c r="P527" i="2"/>
  <c r="O527" i="2"/>
  <c r="N525" i="2"/>
  <c r="O524" i="2"/>
  <c r="N524" i="2"/>
  <c r="N523" i="2" s="1"/>
  <c r="M524" i="2"/>
  <c r="L524" i="2"/>
  <c r="K517" i="2"/>
  <c r="J517" i="2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P506" i="2"/>
  <c r="O506" i="2"/>
  <c r="O505" i="2"/>
  <c r="M505" i="2"/>
  <c r="P505" i="2" s="1"/>
  <c r="L505" i="2"/>
  <c r="P504" i="2"/>
  <c r="M504" i="2"/>
  <c r="L504" i="2"/>
  <c r="O504" i="2" s="1"/>
  <c r="O503" i="2"/>
  <c r="N503" i="2"/>
  <c r="M503" i="2"/>
  <c r="M502" i="2" s="1"/>
  <c r="L503" i="2"/>
  <c r="L502" i="2" s="1"/>
  <c r="O502" i="2" s="1"/>
  <c r="P502" i="2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P477" i="2"/>
  <c r="N477" i="2"/>
  <c r="M477" i="2"/>
  <c r="N472" i="2"/>
  <c r="L472" i="2"/>
  <c r="P471" i="2"/>
  <c r="O471" i="2"/>
  <c r="N470" i="2"/>
  <c r="N469" i="2"/>
  <c r="P468" i="2"/>
  <c r="N468" i="2"/>
  <c r="N467" i="2" s="1"/>
  <c r="M468" i="2"/>
  <c r="L468" i="2"/>
  <c r="O468" i="2" s="1"/>
  <c r="J466" i="2"/>
  <c r="I466" i="2"/>
  <c r="K466" i="2" s="1"/>
  <c r="J465" i="2"/>
  <c r="I465" i="2"/>
  <c r="K465" i="2" s="1"/>
  <c r="I464" i="2"/>
  <c r="I463" i="2"/>
  <c r="I462" i="2"/>
  <c r="K462" i="2" s="1"/>
  <c r="I460" i="2"/>
  <c r="K458" i="2"/>
  <c r="P456" i="2"/>
  <c r="L456" i="2"/>
  <c r="L454" i="2" s="1"/>
  <c r="O454" i="2" s="1"/>
  <c r="P455" i="2"/>
  <c r="O455" i="2"/>
  <c r="P454" i="2"/>
  <c r="N454" i="2"/>
  <c r="M454" i="2"/>
  <c r="N449" i="2"/>
  <c r="L449" i="2"/>
  <c r="P448" i="2"/>
  <c r="O448" i="2"/>
  <c r="N447" i="2"/>
  <c r="N446" i="2"/>
  <c r="P445" i="2"/>
  <c r="O445" i="2"/>
  <c r="N445" i="2"/>
  <c r="M445" i="2"/>
  <c r="L445" i="2"/>
  <c r="N444" i="2"/>
  <c r="J443" i="2"/>
  <c r="J442" i="2"/>
  <c r="I441" i="2"/>
  <c r="K441" i="2" s="1"/>
  <c r="I440" i="2"/>
  <c r="I439" i="2"/>
  <c r="K439" i="2" s="1"/>
  <c r="I438" i="2"/>
  <c r="K438" i="2" s="1"/>
  <c r="I437" i="2"/>
  <c r="K437" i="2" s="1"/>
  <c r="I435" i="2"/>
  <c r="I433" i="2" s="1"/>
  <c r="I417" i="2" s="1"/>
  <c r="J434" i="2"/>
  <c r="P431" i="2"/>
  <c r="L431" i="2"/>
  <c r="O431" i="2" s="1"/>
  <c r="P430" i="2"/>
  <c r="O430" i="2"/>
  <c r="N429" i="2"/>
  <c r="M429" i="2"/>
  <c r="P429" i="2" s="1"/>
  <c r="N424" i="2"/>
  <c r="N422" i="2" s="1"/>
  <c r="L424" i="2"/>
  <c r="M424" i="2" s="1"/>
  <c r="P423" i="2"/>
  <c r="O423" i="2"/>
  <c r="N421" i="2"/>
  <c r="N419" i="2" s="1"/>
  <c r="P420" i="2"/>
  <c r="O420" i="2"/>
  <c r="N420" i="2"/>
  <c r="M420" i="2"/>
  <c r="L420" i="2"/>
  <c r="J418" i="2"/>
  <c r="K413" i="2"/>
  <c r="K412" i="2"/>
  <c r="N410" i="2"/>
  <c r="N408" i="2" s="1"/>
  <c r="M410" i="2"/>
  <c r="P410" i="2" s="1"/>
  <c r="L410" i="2"/>
  <c r="L408" i="2" s="1"/>
  <c r="O408" i="2" s="1"/>
  <c r="P409" i="2"/>
  <c r="O409" i="2"/>
  <c r="N407" i="2"/>
  <c r="M407" i="2"/>
  <c r="L407" i="2"/>
  <c r="P406" i="2"/>
  <c r="O406" i="2"/>
  <c r="O403" i="2"/>
  <c r="N403" i="2"/>
  <c r="M403" i="2"/>
  <c r="P403" i="2" s="1"/>
  <c r="L403" i="2"/>
  <c r="J401" i="2"/>
  <c r="I401" i="2"/>
  <c r="K401" i="2" s="1"/>
  <c r="K400" i="2"/>
  <c r="K399" i="2"/>
  <c r="N397" i="2"/>
  <c r="N395" i="2" s="1"/>
  <c r="M397" i="2"/>
  <c r="P397" i="2" s="1"/>
  <c r="L397" i="2"/>
  <c r="O397" i="2" s="1"/>
  <c r="P396" i="2"/>
  <c r="O396" i="2"/>
  <c r="N394" i="2"/>
  <c r="N392" i="2" s="1"/>
  <c r="M394" i="2"/>
  <c r="P394" i="2" s="1"/>
  <c r="L394" i="2"/>
  <c r="P393" i="2"/>
  <c r="O393" i="2"/>
  <c r="P390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L351" i="2" s="1"/>
  <c r="P352" i="2"/>
  <c r="O352" i="2"/>
  <c r="N350" i="2"/>
  <c r="M350" i="2"/>
  <c r="M348" i="2" s="1"/>
  <c r="L350" i="2"/>
  <c r="P349" i="2"/>
  <c r="O349" i="2"/>
  <c r="P346" i="2"/>
  <c r="N346" i="2"/>
  <c r="M346" i="2"/>
  <c r="L346" i="2"/>
  <c r="O346" i="2" s="1"/>
  <c r="J343" i="2"/>
  <c r="J342" i="2"/>
  <c r="J341" i="2"/>
  <c r="J340" i="2"/>
  <c r="I340" i="2"/>
  <c r="J338" i="2"/>
  <c r="I338" i="2"/>
  <c r="N336" i="2"/>
  <c r="N334" i="2" s="1"/>
  <c r="M336" i="2"/>
  <c r="M334" i="2" s="1"/>
  <c r="P334" i="2" s="1"/>
  <c r="L336" i="2"/>
  <c r="O336" i="2" s="1"/>
  <c r="P335" i="2"/>
  <c r="O335" i="2"/>
  <c r="N333" i="2"/>
  <c r="N331" i="2" s="1"/>
  <c r="M333" i="2"/>
  <c r="M331" i="2" s="1"/>
  <c r="L333" i="2"/>
  <c r="P332" i="2"/>
  <c r="O332" i="2"/>
  <c r="O329" i="2"/>
  <c r="N329" i="2"/>
  <c r="M329" i="2"/>
  <c r="L329" i="2"/>
  <c r="I327" i="2"/>
  <c r="I325" i="2"/>
  <c r="K325" i="2" s="1"/>
  <c r="N323" i="2"/>
  <c r="M323" i="2"/>
  <c r="P323" i="2" s="1"/>
  <c r="L323" i="2"/>
  <c r="P322" i="2"/>
  <c r="O322" i="2"/>
  <c r="N320" i="2"/>
  <c r="N318" i="2" s="1"/>
  <c r="M320" i="2"/>
  <c r="L320" i="2"/>
  <c r="P319" i="2"/>
  <c r="O319" i="2"/>
  <c r="O316" i="2"/>
  <c r="N316" i="2"/>
  <c r="M316" i="2"/>
  <c r="P316" i="2" s="1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L304" i="2" s="1"/>
  <c r="O304" i="2" s="1"/>
  <c r="P305" i="2"/>
  <c r="O305" i="2"/>
  <c r="N303" i="2"/>
  <c r="M303" i="2"/>
  <c r="M301" i="2" s="1"/>
  <c r="L303" i="2"/>
  <c r="L301" i="2" s="1"/>
  <c r="P302" i="2"/>
  <c r="O302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N285" i="2"/>
  <c r="N283" i="2" s="1"/>
  <c r="M285" i="2"/>
  <c r="M283" i="2" s="1"/>
  <c r="P283" i="2" s="1"/>
  <c r="L285" i="2"/>
  <c r="O285" i="2" s="1"/>
  <c r="P284" i="2"/>
  <c r="O284" i="2"/>
  <c r="N282" i="2"/>
  <c r="N280" i="2" s="1"/>
  <c r="M282" i="2"/>
  <c r="M280" i="2" s="1"/>
  <c r="L282" i="2"/>
  <c r="P281" i="2"/>
  <c r="O281" i="2"/>
  <c r="P278" i="2"/>
  <c r="N278" i="2"/>
  <c r="M278" i="2"/>
  <c r="L278" i="2"/>
  <c r="J276" i="2"/>
  <c r="I271" i="2"/>
  <c r="I260" i="2" s="1"/>
  <c r="K260" i="2" s="1"/>
  <c r="N269" i="2"/>
  <c r="N267" i="2" s="1"/>
  <c r="M269" i="2"/>
  <c r="P269" i="2" s="1"/>
  <c r="L269" i="2"/>
  <c r="L267" i="2" s="1"/>
  <c r="O267" i="2" s="1"/>
  <c r="P268" i="2"/>
  <c r="O268" i="2"/>
  <c r="N266" i="2"/>
  <c r="M266" i="2"/>
  <c r="M264" i="2" s="1"/>
  <c r="L266" i="2"/>
  <c r="L264" i="2" s="1"/>
  <c r="P265" i="2"/>
  <c r="O265" i="2"/>
  <c r="O262" i="2"/>
  <c r="N262" i="2"/>
  <c r="M262" i="2"/>
  <c r="L262" i="2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36" i="2"/>
  <c r="I236" i="2"/>
  <c r="K236" i="2" s="1"/>
  <c r="J235" i="2"/>
  <c r="I235" i="2"/>
  <c r="K235" i="2" s="1"/>
  <c r="J233" i="2"/>
  <c r="N231" i="2"/>
  <c r="N230" i="2"/>
  <c r="N229" i="2"/>
  <c r="N228" i="2"/>
  <c r="N227" i="2"/>
  <c r="J226" i="2"/>
  <c r="J180" i="2" s="1"/>
  <c r="I225" i="2"/>
  <c r="K225" i="2" s="1"/>
  <c r="I224" i="2"/>
  <c r="I216" i="2" s="1"/>
  <c r="K216" i="2" s="1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L189" i="2"/>
  <c r="P188" i="2"/>
  <c r="O188" i="2"/>
  <c r="N186" i="2"/>
  <c r="N184" i="2" s="1"/>
  <c r="M186" i="2"/>
  <c r="L186" i="2"/>
  <c r="P185" i="2"/>
  <c r="O185" i="2"/>
  <c r="O182" i="2"/>
  <c r="N182" i="2"/>
  <c r="M182" i="2"/>
  <c r="P182" i="2" s="1"/>
  <c r="L182" i="2"/>
  <c r="J177" i="2"/>
  <c r="I176" i="2"/>
  <c r="I174" i="2" s="1"/>
  <c r="J174" i="2"/>
  <c r="J164" i="2" s="1"/>
  <c r="N173" i="2"/>
  <c r="N171" i="2" s="1"/>
  <c r="M173" i="2"/>
  <c r="M171" i="2" s="1"/>
  <c r="P171" i="2" s="1"/>
  <c r="L173" i="2"/>
  <c r="P172" i="2"/>
  <c r="O172" i="2"/>
  <c r="N170" i="2"/>
  <c r="N168" i="2" s="1"/>
  <c r="M170" i="2"/>
  <c r="L170" i="2"/>
  <c r="L168" i="2" s="1"/>
  <c r="P169" i="2"/>
  <c r="O169" i="2"/>
  <c r="O166" i="2"/>
  <c r="N166" i="2"/>
  <c r="M166" i="2"/>
  <c r="P166" i="2" s="1"/>
  <c r="L166" i="2"/>
  <c r="I159" i="2"/>
  <c r="K159" i="2" s="1"/>
  <c r="N157" i="2"/>
  <c r="N155" i="2" s="1"/>
  <c r="M157" i="2"/>
  <c r="P157" i="2" s="1"/>
  <c r="L157" i="2"/>
  <c r="O157" i="2" s="1"/>
  <c r="P156" i="2"/>
  <c r="O156" i="2"/>
  <c r="N154" i="2"/>
  <c r="M154" i="2"/>
  <c r="M152" i="2" s="1"/>
  <c r="L154" i="2"/>
  <c r="L152" i="2" s="1"/>
  <c r="P153" i="2"/>
  <c r="O153" i="2"/>
  <c r="P150" i="2"/>
  <c r="O150" i="2"/>
  <c r="N150" i="2"/>
  <c r="M150" i="2"/>
  <c r="L150" i="2"/>
  <c r="J148" i="2"/>
  <c r="I146" i="2"/>
  <c r="I130" i="2" s="1"/>
  <c r="K130" i="2" s="1"/>
  <c r="I145" i="2"/>
  <c r="K145" i="2" s="1"/>
  <c r="I144" i="2"/>
  <c r="N140" i="2"/>
  <c r="N138" i="2" s="1"/>
  <c r="M140" i="2"/>
  <c r="L140" i="2"/>
  <c r="O140" i="2" s="1"/>
  <c r="P139" i="2"/>
  <c r="O139" i="2"/>
  <c r="N137" i="2"/>
  <c r="M137" i="2"/>
  <c r="L137" i="2"/>
  <c r="P136" i="2"/>
  <c r="O136" i="2"/>
  <c r="N133" i="2"/>
  <c r="M133" i="2"/>
  <c r="P133" i="2" s="1"/>
  <c r="L133" i="2"/>
  <c r="O133" i="2" s="1"/>
  <c r="J130" i="2"/>
  <c r="N127" i="2"/>
  <c r="N125" i="2" s="1"/>
  <c r="M127" i="2"/>
  <c r="P127" i="2" s="1"/>
  <c r="L127" i="2"/>
  <c r="O127" i="2" s="1"/>
  <c r="P126" i="2"/>
  <c r="O126" i="2"/>
  <c r="N124" i="2"/>
  <c r="N122" i="2" s="1"/>
  <c r="M124" i="2"/>
  <c r="P124" i="2" s="1"/>
  <c r="L124" i="2"/>
  <c r="P123" i="2"/>
  <c r="O123" i="2"/>
  <c r="P120" i="2"/>
  <c r="O120" i="2"/>
  <c r="N120" i="2"/>
  <c r="M120" i="2"/>
  <c r="L120" i="2"/>
  <c r="I116" i="2"/>
  <c r="K116" i="2" s="1"/>
  <c r="I115" i="2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I87" i="2" s="1"/>
  <c r="J98" i="2"/>
  <c r="I98" i="2"/>
  <c r="N96" i="2"/>
  <c r="M96" i="2"/>
  <c r="P96" i="2" s="1"/>
  <c r="L96" i="2"/>
  <c r="P95" i="2"/>
  <c r="O95" i="2"/>
  <c r="N93" i="2"/>
  <c r="N91" i="2" s="1"/>
  <c r="M93" i="2"/>
  <c r="L93" i="2"/>
  <c r="P92" i="2"/>
  <c r="O92" i="2"/>
  <c r="O89" i="2"/>
  <c r="N89" i="2"/>
  <c r="M89" i="2"/>
  <c r="P89" i="2" s="1"/>
  <c r="L89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J77" i="2"/>
  <c r="J65" i="2" s="1"/>
  <c r="J76" i="2"/>
  <c r="N74" i="2"/>
  <c r="N72" i="2" s="1"/>
  <c r="M74" i="2"/>
  <c r="L74" i="2"/>
  <c r="P73" i="2"/>
  <c r="O73" i="2"/>
  <c r="N71" i="2"/>
  <c r="M71" i="2"/>
  <c r="L71" i="2"/>
  <c r="O71" i="2" s="1"/>
  <c r="P70" i="2"/>
  <c r="O70" i="2"/>
  <c r="N67" i="2"/>
  <c r="M67" i="2"/>
  <c r="P67" i="2" s="1"/>
  <c r="L67" i="2"/>
  <c r="O67" i="2" s="1"/>
  <c r="J64" i="2"/>
  <c r="N61" i="2"/>
  <c r="N59" i="2" s="1"/>
  <c r="M61" i="2"/>
  <c r="L61" i="2"/>
  <c r="P60" i="2"/>
  <c r="O60" i="2"/>
  <c r="N58" i="2"/>
  <c r="N56" i="2" s="1"/>
  <c r="M58" i="2"/>
  <c r="L58" i="2"/>
  <c r="P57" i="2"/>
  <c r="O57" i="2"/>
  <c r="P54" i="2"/>
  <c r="O54" i="2"/>
  <c r="N54" i="2"/>
  <c r="M54" i="2"/>
  <c r="L54" i="2"/>
  <c r="N49" i="2"/>
  <c r="M49" i="2"/>
  <c r="M47" i="2" s="1"/>
  <c r="P47" i="2" s="1"/>
  <c r="L49" i="2"/>
  <c r="O49" i="2" s="1"/>
  <c r="P48" i="2"/>
  <c r="O48" i="2"/>
  <c r="N46" i="2"/>
  <c r="N44" i="2" s="1"/>
  <c r="M46" i="2"/>
  <c r="M44" i="2" s="1"/>
  <c r="L46" i="2"/>
  <c r="P45" i="2"/>
  <c r="O45" i="2"/>
  <c r="P42" i="2"/>
  <c r="O42" i="2"/>
  <c r="N42" i="2"/>
  <c r="M42" i="2"/>
  <c r="L42" i="2"/>
  <c r="P36" i="2"/>
  <c r="N36" i="2"/>
  <c r="M36" i="2"/>
  <c r="P35" i="2"/>
  <c r="O35" i="2"/>
  <c r="N35" i="2"/>
  <c r="M35" i="2"/>
  <c r="L35" i="2"/>
  <c r="M34" i="2"/>
  <c r="P34" i="2" s="1"/>
  <c r="N33" i="2"/>
  <c r="N30" i="2" s="1"/>
  <c r="O32" i="2"/>
  <c r="N32" i="2"/>
  <c r="N29" i="2" s="1"/>
  <c r="M32" i="2"/>
  <c r="L32" i="2"/>
  <c r="L29" i="2"/>
  <c r="N28" i="2"/>
  <c r="N25" i="2"/>
  <c r="M25" i="2"/>
  <c r="M19" i="2" s="1"/>
  <c r="L25" i="2"/>
  <c r="O25" i="2" s="1"/>
  <c r="P22" i="2"/>
  <c r="N22" i="2"/>
  <c r="M22" i="2"/>
  <c r="L22" i="2"/>
  <c r="L19" i="2"/>
  <c r="L15" i="2"/>
  <c r="M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N815" i="1"/>
  <c r="M815" i="1"/>
  <c r="L815" i="1"/>
  <c r="O815" i="1" s="1"/>
  <c r="P810" i="1"/>
  <c r="O810" i="1"/>
  <c r="N810" i="1"/>
  <c r="P809" i="1"/>
  <c r="O809" i="1"/>
  <c r="P808" i="1"/>
  <c r="O808" i="1"/>
  <c r="N808" i="1"/>
  <c r="M808" i="1"/>
  <c r="L808" i="1"/>
  <c r="O807" i="1"/>
  <c r="N807" i="1"/>
  <c r="N805" i="1" s="1"/>
  <c r="M807" i="1"/>
  <c r="P807" i="1" s="1"/>
  <c r="L807" i="1"/>
  <c r="N806" i="1"/>
  <c r="M806" i="1"/>
  <c r="P806" i="1" s="1"/>
  <c r="L806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M791" i="1"/>
  <c r="M789" i="1" s="1"/>
  <c r="L791" i="1"/>
  <c r="L789" i="1" s="1"/>
  <c r="P790" i="1"/>
  <c r="O790" i="1"/>
  <c r="P787" i="1"/>
  <c r="O787" i="1"/>
  <c r="N787" i="1"/>
  <c r="M787" i="1"/>
  <c r="L787" i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N772" i="1" s="1"/>
  <c r="P774" i="1"/>
  <c r="O774" i="1"/>
  <c r="N773" i="1"/>
  <c r="M773" i="1"/>
  <c r="P773" i="1" s="1"/>
  <c r="L773" i="1"/>
  <c r="O773" i="1" s="1"/>
  <c r="P772" i="1"/>
  <c r="M772" i="1"/>
  <c r="M770" i="1" s="1"/>
  <c r="P770" i="1" s="1"/>
  <c r="L772" i="1"/>
  <c r="O772" i="1" s="1"/>
  <c r="P771" i="1"/>
  <c r="O771" i="1"/>
  <c r="N771" i="1"/>
  <c r="M771" i="1"/>
  <c r="L771" i="1"/>
  <c r="L770" i="1" s="1"/>
  <c r="O770" i="1" s="1"/>
  <c r="N770" i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N756" i="1" s="1"/>
  <c r="P758" i="1"/>
  <c r="O758" i="1"/>
  <c r="N757" i="1"/>
  <c r="M757" i="1"/>
  <c r="P757" i="1" s="1"/>
  <c r="L757" i="1"/>
  <c r="O757" i="1" s="1"/>
  <c r="P756" i="1"/>
  <c r="M756" i="1"/>
  <c r="M754" i="1" s="1"/>
  <c r="P754" i="1" s="1"/>
  <c r="L756" i="1"/>
  <c r="O756" i="1" s="1"/>
  <c r="P755" i="1"/>
  <c r="O755" i="1"/>
  <c r="N755" i="1"/>
  <c r="M755" i="1"/>
  <c r="L755" i="1"/>
  <c r="L754" i="1" s="1"/>
  <c r="O754" i="1" s="1"/>
  <c r="N754" i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N739" i="1" s="1"/>
  <c r="P741" i="1"/>
  <c r="O741" i="1"/>
  <c r="N740" i="1"/>
  <c r="M740" i="1"/>
  <c r="P740" i="1" s="1"/>
  <c r="L740" i="1"/>
  <c r="O740" i="1" s="1"/>
  <c r="P739" i="1"/>
  <c r="M739" i="1"/>
  <c r="M737" i="1" s="1"/>
  <c r="P737" i="1" s="1"/>
  <c r="L739" i="1"/>
  <c r="O739" i="1" s="1"/>
  <c r="P738" i="1"/>
  <c r="O738" i="1"/>
  <c r="N738" i="1"/>
  <c r="M738" i="1"/>
  <c r="L738" i="1"/>
  <c r="L737" i="1" s="1"/>
  <c r="O737" i="1" s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L690" i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8" i="1" s="1"/>
  <c r="L660" i="1"/>
  <c r="L658" i="1" s="1"/>
  <c r="P659" i="1"/>
  <c r="O659" i="1"/>
  <c r="P656" i="1"/>
  <c r="N656" i="1"/>
  <c r="M656" i="1"/>
  <c r="L656" i="1"/>
  <c r="O656" i="1" s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P555" i="1"/>
  <c r="N555" i="1"/>
  <c r="N545" i="1" s="1"/>
  <c r="M555" i="1"/>
  <c r="N554" i="1"/>
  <c r="N553" i="1"/>
  <c r="N552" i="1"/>
  <c r="N551" i="1"/>
  <c r="N550" i="1"/>
  <c r="M549" i="1"/>
  <c r="M547" i="1" s="1"/>
  <c r="L549" i="1"/>
  <c r="L546" i="1" s="1"/>
  <c r="P548" i="1"/>
  <c r="O548" i="1"/>
  <c r="M545" i="1"/>
  <c r="P545" i="1" s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I537" i="1"/>
  <c r="I522" i="1" s="1"/>
  <c r="P535" i="1"/>
  <c r="L535" i="1"/>
  <c r="L533" i="1" s="1"/>
  <c r="O533" i="1" s="1"/>
  <c r="P534" i="1"/>
  <c r="O534" i="1"/>
  <c r="N533" i="1"/>
  <c r="M533" i="1"/>
  <c r="P533" i="1" s="1"/>
  <c r="N532" i="1"/>
  <c r="N531" i="1"/>
  <c r="N530" i="1"/>
  <c r="N529" i="1"/>
  <c r="M528" i="1"/>
  <c r="L528" i="1"/>
  <c r="L526" i="1" s="1"/>
  <c r="P527" i="1"/>
  <c r="O527" i="1"/>
  <c r="O524" i="1"/>
  <c r="N524" i="1"/>
  <c r="M524" i="1"/>
  <c r="L524" i="1"/>
  <c r="K517" i="1"/>
  <c r="J517" i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O505" i="1"/>
  <c r="M505" i="1"/>
  <c r="P505" i="1" s="1"/>
  <c r="L505" i="1"/>
  <c r="M504" i="1"/>
  <c r="P504" i="1" s="1"/>
  <c r="L504" i="1"/>
  <c r="O504" i="1" s="1"/>
  <c r="N503" i="1"/>
  <c r="M503" i="1"/>
  <c r="P503" i="1" s="1"/>
  <c r="L503" i="1"/>
  <c r="O503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M472" i="1"/>
  <c r="L472" i="1"/>
  <c r="P471" i="1"/>
  <c r="O471" i="1"/>
  <c r="P468" i="1"/>
  <c r="N468" i="1"/>
  <c r="M468" i="1"/>
  <c r="L468" i="1"/>
  <c r="O468" i="1" s="1"/>
  <c r="I466" i="1"/>
  <c r="I465" i="1"/>
  <c r="J464" i="1"/>
  <c r="I464" i="1"/>
  <c r="J463" i="1"/>
  <c r="I463" i="1"/>
  <c r="J462" i="1"/>
  <c r="J443" i="1" s="1"/>
  <c r="I462" i="1"/>
  <c r="I443" i="1" s="1"/>
  <c r="J460" i="1"/>
  <c r="I460" i="1"/>
  <c r="I442" i="1" s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L447" i="1" s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P430" i="1"/>
  <c r="O430" i="1"/>
  <c r="P429" i="1"/>
  <c r="N429" i="1"/>
  <c r="M429" i="1"/>
  <c r="N428" i="1"/>
  <c r="N427" i="1"/>
  <c r="N426" i="1"/>
  <c r="N425" i="1"/>
  <c r="M424" i="1"/>
  <c r="M421" i="1" s="1"/>
  <c r="L424" i="1"/>
  <c r="L422" i="1" s="1"/>
  <c r="P423" i="1"/>
  <c r="O423" i="1"/>
  <c r="N420" i="1"/>
  <c r="M420" i="1"/>
  <c r="P420" i="1" s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L410" i="1"/>
  <c r="L408" i="1" s="1"/>
  <c r="O408" i="1" s="1"/>
  <c r="P409" i="1"/>
  <c r="O409" i="1"/>
  <c r="N407" i="1"/>
  <c r="M407" i="1"/>
  <c r="M405" i="1" s="1"/>
  <c r="P405" i="1" s="1"/>
  <c r="L407" i="1"/>
  <c r="L405" i="1" s="1"/>
  <c r="O405" i="1" s="1"/>
  <c r="P406" i="1"/>
  <c r="O406" i="1"/>
  <c r="P403" i="1"/>
  <c r="O403" i="1"/>
  <c r="N403" i="1"/>
  <c r="M403" i="1"/>
  <c r="L403" i="1"/>
  <c r="J400" i="1"/>
  <c r="J388" i="1" s="1"/>
  <c r="I400" i="1"/>
  <c r="J399" i="1"/>
  <c r="I399" i="1"/>
  <c r="K399" i="1" s="1"/>
  <c r="N397" i="1"/>
  <c r="N395" i="1" s="1"/>
  <c r="M397" i="1"/>
  <c r="M395" i="1" s="1"/>
  <c r="P395" i="1" s="1"/>
  <c r="L397" i="1"/>
  <c r="L395" i="1" s="1"/>
  <c r="O395" i="1" s="1"/>
  <c r="P396" i="1"/>
  <c r="O396" i="1"/>
  <c r="N394" i="1"/>
  <c r="N392" i="1" s="1"/>
  <c r="M394" i="1"/>
  <c r="M392" i="1" s="1"/>
  <c r="P392" i="1" s="1"/>
  <c r="L394" i="1"/>
  <c r="L392" i="1" s="1"/>
  <c r="O392" i="1" s="1"/>
  <c r="P393" i="1"/>
  <c r="O393" i="1"/>
  <c r="N390" i="1"/>
  <c r="M390" i="1"/>
  <c r="P390" i="1" s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M353" i="1"/>
  <c r="M351" i="1" s="1"/>
  <c r="L353" i="1"/>
  <c r="L351" i="1" s="1"/>
  <c r="P352" i="1"/>
  <c r="O352" i="1"/>
  <c r="N350" i="1"/>
  <c r="N348" i="1" s="1"/>
  <c r="M350" i="1"/>
  <c r="L350" i="1"/>
  <c r="L348" i="1" s="1"/>
  <c r="P349" i="1"/>
  <c r="O349" i="1"/>
  <c r="N346" i="1"/>
  <c r="M346" i="1"/>
  <c r="P346" i="1" s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L336" i="1"/>
  <c r="L334" i="1" s="1"/>
  <c r="P335" i="1"/>
  <c r="O335" i="1"/>
  <c r="N333" i="1"/>
  <c r="M333" i="1"/>
  <c r="L333" i="1"/>
  <c r="L331" i="1" s="1"/>
  <c r="P332" i="1"/>
  <c r="O332" i="1"/>
  <c r="N329" i="1"/>
  <c r="M329" i="1"/>
  <c r="P329" i="1" s="1"/>
  <c r="L329" i="1"/>
  <c r="O329" i="1" s="1"/>
  <c r="I327" i="1"/>
  <c r="J325" i="1"/>
  <c r="J314" i="1" s="1"/>
  <c r="I325" i="1"/>
  <c r="N323" i="1"/>
  <c r="M323" i="1"/>
  <c r="P323" i="1" s="1"/>
  <c r="L323" i="1"/>
  <c r="P322" i="1"/>
  <c r="O322" i="1"/>
  <c r="N320" i="1"/>
  <c r="N318" i="1" s="1"/>
  <c r="M320" i="1"/>
  <c r="L320" i="1"/>
  <c r="P319" i="1"/>
  <c r="O319" i="1"/>
  <c r="P316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P306" i="1" s="1"/>
  <c r="L306" i="1"/>
  <c r="O306" i="1" s="1"/>
  <c r="P305" i="1"/>
  <c r="O305" i="1"/>
  <c r="N303" i="1"/>
  <c r="N301" i="1" s="1"/>
  <c r="M303" i="1"/>
  <c r="L303" i="1"/>
  <c r="L301" i="1" s="1"/>
  <c r="P302" i="1"/>
  <c r="O302" i="1"/>
  <c r="P299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I276" i="1" s="1"/>
  <c r="N285" i="1"/>
  <c r="N283" i="1" s="1"/>
  <c r="M285" i="1"/>
  <c r="P285" i="1" s="1"/>
  <c r="L285" i="1"/>
  <c r="P284" i="1"/>
  <c r="O284" i="1"/>
  <c r="N282" i="1"/>
  <c r="M282" i="1"/>
  <c r="L282" i="1"/>
  <c r="L280" i="1" s="1"/>
  <c r="P281" i="1"/>
  <c r="O281" i="1"/>
  <c r="P278" i="1"/>
  <c r="O278" i="1"/>
  <c r="N278" i="1"/>
  <c r="M278" i="1"/>
  <c r="L278" i="1"/>
  <c r="J271" i="1"/>
  <c r="J260" i="1" s="1"/>
  <c r="I271" i="1"/>
  <c r="I260" i="1" s="1"/>
  <c r="N269" i="1"/>
  <c r="N267" i="1" s="1"/>
  <c r="M269" i="1"/>
  <c r="P269" i="1" s="1"/>
  <c r="L269" i="1"/>
  <c r="O269" i="1" s="1"/>
  <c r="P268" i="1"/>
  <c r="O268" i="1"/>
  <c r="N266" i="1"/>
  <c r="N264" i="1" s="1"/>
  <c r="M266" i="1"/>
  <c r="M264" i="1" s="1"/>
  <c r="L266" i="1"/>
  <c r="P265" i="1"/>
  <c r="O265" i="1"/>
  <c r="P262" i="1"/>
  <c r="N262" i="1"/>
  <c r="M262" i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I193" i="1"/>
  <c r="I190" i="1" s="1"/>
  <c r="P191" i="1"/>
  <c r="N191" i="1"/>
  <c r="L191" i="1"/>
  <c r="N189" i="1"/>
  <c r="N187" i="1" s="1"/>
  <c r="M189" i="1"/>
  <c r="L189" i="1"/>
  <c r="L187" i="1" s="1"/>
  <c r="O187" i="1" s="1"/>
  <c r="P188" i="1"/>
  <c r="O188" i="1"/>
  <c r="N186" i="1"/>
  <c r="M186" i="1"/>
  <c r="L186" i="1"/>
  <c r="L184" i="1" s="1"/>
  <c r="P185" i="1"/>
  <c r="O185" i="1"/>
  <c r="N182" i="1"/>
  <c r="M182" i="1"/>
  <c r="L182" i="1"/>
  <c r="J177" i="1"/>
  <c r="J176" i="1"/>
  <c r="J174" i="1" s="1"/>
  <c r="J164" i="1" s="1"/>
  <c r="I176" i="1"/>
  <c r="N173" i="1"/>
  <c r="N171" i="1" s="1"/>
  <c r="M173" i="1"/>
  <c r="P173" i="1" s="1"/>
  <c r="L173" i="1"/>
  <c r="O173" i="1" s="1"/>
  <c r="P172" i="1"/>
  <c r="O172" i="1"/>
  <c r="N170" i="1"/>
  <c r="M170" i="1"/>
  <c r="L170" i="1"/>
  <c r="L168" i="1" s="1"/>
  <c r="P169" i="1"/>
  <c r="O169" i="1"/>
  <c r="N166" i="1"/>
  <c r="M166" i="1"/>
  <c r="P166" i="1" s="1"/>
  <c r="L166" i="1"/>
  <c r="O166" i="1" s="1"/>
  <c r="J159" i="1"/>
  <c r="J148" i="1" s="1"/>
  <c r="I159" i="1"/>
  <c r="N157" i="1"/>
  <c r="N155" i="1" s="1"/>
  <c r="M157" i="1"/>
  <c r="M155" i="1" s="1"/>
  <c r="P155" i="1" s="1"/>
  <c r="L157" i="1"/>
  <c r="O157" i="1" s="1"/>
  <c r="P156" i="1"/>
  <c r="O156" i="1"/>
  <c r="N154" i="1"/>
  <c r="M154" i="1"/>
  <c r="M152" i="1" s="1"/>
  <c r="L154" i="1"/>
  <c r="P153" i="1"/>
  <c r="O153" i="1"/>
  <c r="P150" i="1"/>
  <c r="N150" i="1"/>
  <c r="M150" i="1"/>
  <c r="L150" i="1"/>
  <c r="J146" i="1"/>
  <c r="J130" i="1" s="1"/>
  <c r="I146" i="1"/>
  <c r="J145" i="1"/>
  <c r="I145" i="1"/>
  <c r="I143" i="1" s="1"/>
  <c r="J144" i="1"/>
  <c r="I144" i="1"/>
  <c r="J143" i="1"/>
  <c r="J131" i="1" s="1"/>
  <c r="J142" i="1"/>
  <c r="N140" i="1"/>
  <c r="N138" i="1" s="1"/>
  <c r="M140" i="1"/>
  <c r="L140" i="1"/>
  <c r="P139" i="1"/>
  <c r="O139" i="1"/>
  <c r="N137" i="1"/>
  <c r="M137" i="1"/>
  <c r="L137" i="1"/>
  <c r="P136" i="1"/>
  <c r="O136" i="1"/>
  <c r="N133" i="1"/>
  <c r="M133" i="1"/>
  <c r="L133" i="1"/>
  <c r="N127" i="1"/>
  <c r="N125" i="1" s="1"/>
  <c r="M127" i="1"/>
  <c r="L127" i="1"/>
  <c r="L125" i="1" s="1"/>
  <c r="P126" i="1"/>
  <c r="O126" i="1"/>
  <c r="N124" i="1"/>
  <c r="N122" i="1" s="1"/>
  <c r="M124" i="1"/>
  <c r="M122" i="1" s="1"/>
  <c r="P122" i="1" s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I104" i="1"/>
  <c r="J103" i="1"/>
  <c r="I103" i="1"/>
  <c r="J102" i="1"/>
  <c r="I102" i="1"/>
  <c r="I100" i="1"/>
  <c r="I99" i="1"/>
  <c r="I87" i="1" s="1"/>
  <c r="I98" i="1"/>
  <c r="I86" i="1" s="1"/>
  <c r="N96" i="1"/>
  <c r="N94" i="1" s="1"/>
  <c r="M96" i="1"/>
  <c r="P96" i="1" s="1"/>
  <c r="L96" i="1"/>
  <c r="O96" i="1" s="1"/>
  <c r="P95" i="1"/>
  <c r="O95" i="1"/>
  <c r="N93" i="1"/>
  <c r="N91" i="1" s="1"/>
  <c r="M93" i="1"/>
  <c r="M91" i="1" s="1"/>
  <c r="L93" i="1"/>
  <c r="L91" i="1" s="1"/>
  <c r="P92" i="1"/>
  <c r="O92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O74" i="1" s="1"/>
  <c r="P73" i="1"/>
  <c r="O73" i="1"/>
  <c r="N71" i="1"/>
  <c r="N69" i="1" s="1"/>
  <c r="M71" i="1"/>
  <c r="M69" i="1" s="1"/>
  <c r="L71" i="1"/>
  <c r="L69" i="1" s="1"/>
  <c r="P70" i="1"/>
  <c r="O70" i="1"/>
  <c r="O67" i="1"/>
  <c r="N67" i="1"/>
  <c r="M67" i="1"/>
  <c r="L67" i="1"/>
  <c r="N61" i="1"/>
  <c r="N59" i="1" s="1"/>
  <c r="M61" i="1"/>
  <c r="L61" i="1"/>
  <c r="L59" i="1" s="1"/>
  <c r="P60" i="1"/>
  <c r="O60" i="1"/>
  <c r="N58" i="1"/>
  <c r="M58" i="1"/>
  <c r="M56" i="1" s="1"/>
  <c r="L58" i="1"/>
  <c r="P57" i="1"/>
  <c r="O57" i="1"/>
  <c r="P54" i="1"/>
  <c r="N54" i="1"/>
  <c r="M54" i="1"/>
  <c r="L54" i="1"/>
  <c r="O54" i="1" s="1"/>
  <c r="N49" i="1"/>
  <c r="M49" i="1"/>
  <c r="P49" i="1" s="1"/>
  <c r="L49" i="1"/>
  <c r="P48" i="1"/>
  <c r="O48" i="1"/>
  <c r="N46" i="1"/>
  <c r="M46" i="1"/>
  <c r="M44" i="1" s="1"/>
  <c r="L46" i="1"/>
  <c r="P45" i="1"/>
  <c r="O45" i="1"/>
  <c r="N42" i="1"/>
  <c r="M42" i="1"/>
  <c r="L42" i="1"/>
  <c r="O42" i="1" s="1"/>
  <c r="P36" i="1"/>
  <c r="N36" i="1"/>
  <c r="M36" i="1"/>
  <c r="O35" i="1"/>
  <c r="N35" i="1"/>
  <c r="M35" i="1"/>
  <c r="L35" i="1"/>
  <c r="N34" i="1"/>
  <c r="N32" i="1"/>
  <c r="M32" i="1"/>
  <c r="L32" i="1"/>
  <c r="N29" i="1"/>
  <c r="M29" i="1"/>
  <c r="N25" i="1"/>
  <c r="M25" i="1"/>
  <c r="P25" i="1" s="1"/>
  <c r="L25" i="1"/>
  <c r="P22" i="1"/>
  <c r="O22" i="1"/>
  <c r="N22" i="1"/>
  <c r="N19" i="1" s="1"/>
  <c r="M22" i="1"/>
  <c r="L22" i="1"/>
  <c r="L19" i="1"/>
  <c r="O19" i="1" s="1"/>
  <c r="N15" i="1"/>
  <c r="M12" i="1"/>
  <c r="L533" i="6" l="1"/>
  <c r="O533" i="6" s="1"/>
  <c r="L477" i="14"/>
  <c r="O477" i="14" s="1"/>
  <c r="L533" i="14"/>
  <c r="O533" i="14" s="1"/>
  <c r="L639" i="6"/>
  <c r="O639" i="6" s="1"/>
  <c r="L555" i="10"/>
  <c r="O555" i="10" s="1"/>
  <c r="L788" i="9"/>
  <c r="O788" i="9" s="1"/>
  <c r="L632" i="10"/>
  <c r="O632" i="10" s="1"/>
  <c r="L657" i="9"/>
  <c r="O657" i="9" s="1"/>
  <c r="L454" i="12"/>
  <c r="O454" i="12" s="1"/>
  <c r="L546" i="14"/>
  <c r="O546" i="14" s="1"/>
  <c r="L477" i="4"/>
  <c r="O477" i="4" s="1"/>
  <c r="L279" i="17"/>
  <c r="L277" i="17" s="1"/>
  <c r="J722" i="21"/>
  <c r="K722" i="21" s="1"/>
  <c r="L526" i="7"/>
  <c r="O526" i="7" s="1"/>
  <c r="L526" i="11"/>
  <c r="O526" i="11" s="1"/>
  <c r="L429" i="16"/>
  <c r="O429" i="16" s="1"/>
  <c r="L789" i="7"/>
  <c r="O789" i="7" s="1"/>
  <c r="L230" i="22"/>
  <c r="K826" i="22"/>
  <c r="I130" i="22"/>
  <c r="K130" i="22" s="1"/>
  <c r="L526" i="21"/>
  <c r="O526" i="21" s="1"/>
  <c r="M134" i="22"/>
  <c r="P134" i="22" s="1"/>
  <c r="M391" i="22"/>
  <c r="P391" i="22" s="1"/>
  <c r="L526" i="10"/>
  <c r="O526" i="10" s="1"/>
  <c r="N55" i="20"/>
  <c r="N53" i="20" s="1"/>
  <c r="M55" i="20"/>
  <c r="M53" i="20" s="1"/>
  <c r="L639" i="2"/>
  <c r="O639" i="2" s="1"/>
  <c r="N151" i="17"/>
  <c r="N149" i="17" s="1"/>
  <c r="L183" i="22"/>
  <c r="L181" i="22" s="1"/>
  <c r="L68" i="21"/>
  <c r="L66" i="21" s="1"/>
  <c r="L228" i="22"/>
  <c r="N68" i="21"/>
  <c r="N66" i="21" s="1"/>
  <c r="L94" i="22"/>
  <c r="O94" i="22" s="1"/>
  <c r="N279" i="17"/>
  <c r="M59" i="20"/>
  <c r="P59" i="20" s="1"/>
  <c r="M47" i="21"/>
  <c r="P47" i="21" s="1"/>
  <c r="J721" i="21"/>
  <c r="K721" i="21" s="1"/>
  <c r="P173" i="22"/>
  <c r="N279" i="22"/>
  <c r="N277" i="22" s="1"/>
  <c r="N347" i="22"/>
  <c r="M55" i="21"/>
  <c r="M53" i="21" s="1"/>
  <c r="L408" i="21"/>
  <c r="O408" i="21" s="1"/>
  <c r="L657" i="21"/>
  <c r="O657" i="21" s="1"/>
  <c r="L184" i="22"/>
  <c r="O528" i="22"/>
  <c r="K700" i="22"/>
  <c r="J722" i="22"/>
  <c r="K722" i="22" s="1"/>
  <c r="P152" i="21"/>
  <c r="L404" i="21"/>
  <c r="O404" i="21" s="1"/>
  <c r="K726" i="21"/>
  <c r="I297" i="18"/>
  <c r="K297" i="18" s="1"/>
  <c r="I443" i="20"/>
  <c r="K443" i="20" s="1"/>
  <c r="M279" i="21"/>
  <c r="M277" i="21" s="1"/>
  <c r="L229" i="22"/>
  <c r="M318" i="22"/>
  <c r="P318" i="22" s="1"/>
  <c r="L321" i="22"/>
  <c r="O321" i="22" s="1"/>
  <c r="O336" i="22"/>
  <c r="I275" i="19"/>
  <c r="K275" i="19" s="1"/>
  <c r="I314" i="21"/>
  <c r="K314" i="21" s="1"/>
  <c r="M151" i="22"/>
  <c r="M149" i="22" s="1"/>
  <c r="P149" i="22" s="1"/>
  <c r="P264" i="22"/>
  <c r="K338" i="22"/>
  <c r="I364" i="22"/>
  <c r="K364" i="22" s="1"/>
  <c r="I276" i="19"/>
  <c r="K276" i="19" s="1"/>
  <c r="K823" i="18"/>
  <c r="I233" i="22"/>
  <c r="K233" i="22" s="1"/>
  <c r="N330" i="22"/>
  <c r="N328" i="22" s="1"/>
  <c r="P350" i="22"/>
  <c r="N391" i="22"/>
  <c r="N389" i="22" s="1"/>
  <c r="N404" i="22"/>
  <c r="N402" i="22" s="1"/>
  <c r="L526" i="13"/>
  <c r="O526" i="13" s="1"/>
  <c r="L198" i="19"/>
  <c r="O198" i="19" s="1"/>
  <c r="L231" i="20"/>
  <c r="M59" i="22"/>
  <c r="P59" i="22" s="1"/>
  <c r="N151" i="22"/>
  <c r="N149" i="22" s="1"/>
  <c r="L231" i="22"/>
  <c r="I443" i="22"/>
  <c r="K443" i="22" s="1"/>
  <c r="I260" i="21"/>
  <c r="K260" i="21" s="1"/>
  <c r="O137" i="22"/>
  <c r="J143" i="22"/>
  <c r="J131" i="22" s="1"/>
  <c r="I216" i="22"/>
  <c r="K216" i="22" s="1"/>
  <c r="K255" i="22"/>
  <c r="O690" i="22"/>
  <c r="L321" i="21"/>
  <c r="O321" i="21" s="1"/>
  <c r="L125" i="22"/>
  <c r="O125" i="22" s="1"/>
  <c r="K244" i="22"/>
  <c r="K728" i="21"/>
  <c r="L688" i="22"/>
  <c r="O688" i="22" s="1"/>
  <c r="L555" i="20"/>
  <c r="O555" i="20" s="1"/>
  <c r="I226" i="22"/>
  <c r="K226" i="22" s="1"/>
  <c r="N183" i="19"/>
  <c r="N181" i="19" s="1"/>
  <c r="L447" i="20"/>
  <c r="O447" i="20" s="1"/>
  <c r="N300" i="21"/>
  <c r="N298" i="21" s="1"/>
  <c r="L68" i="22"/>
  <c r="O68" i="22" s="1"/>
  <c r="O93" i="22"/>
  <c r="K287" i="22"/>
  <c r="N300" i="22"/>
  <c r="N298" i="22" s="1"/>
  <c r="N392" i="22"/>
  <c r="K435" i="22"/>
  <c r="M68" i="19"/>
  <c r="M66" i="19" s="1"/>
  <c r="P66" i="19" s="1"/>
  <c r="M47" i="20"/>
  <c r="P47" i="20" s="1"/>
  <c r="L47" i="21"/>
  <c r="O47" i="21" s="1"/>
  <c r="I148" i="21"/>
  <c r="K148" i="21" s="1"/>
  <c r="K725" i="21"/>
  <c r="O49" i="22"/>
  <c r="M263" i="22"/>
  <c r="M261" i="22" s="1"/>
  <c r="I297" i="22"/>
  <c r="K297" i="22" s="1"/>
  <c r="O431" i="22"/>
  <c r="L788" i="22"/>
  <c r="O788" i="22" s="1"/>
  <c r="I260" i="22"/>
  <c r="K260" i="22" s="1"/>
  <c r="K340" i="22"/>
  <c r="K594" i="22"/>
  <c r="O58" i="21"/>
  <c r="N134" i="22"/>
  <c r="N132" i="22" s="1"/>
  <c r="L167" i="22"/>
  <c r="O167" i="22" s="1"/>
  <c r="L43" i="21"/>
  <c r="L41" i="21" s="1"/>
  <c r="L317" i="21"/>
  <c r="O317" i="21" s="1"/>
  <c r="O189" i="22"/>
  <c r="J364" i="22"/>
  <c r="K825" i="22"/>
  <c r="K674" i="22"/>
  <c r="N279" i="19"/>
  <c r="N277" i="19" s="1"/>
  <c r="M90" i="20"/>
  <c r="M88" i="20" s="1"/>
  <c r="I130" i="20"/>
  <c r="K130" i="20" s="1"/>
  <c r="L300" i="21"/>
  <c r="L298" i="21" s="1"/>
  <c r="K362" i="21"/>
  <c r="O74" i="22"/>
  <c r="I86" i="22"/>
  <c r="K86" i="22" s="1"/>
  <c r="N138" i="22"/>
  <c r="O140" i="22"/>
  <c r="I148" i="22"/>
  <c r="K148" i="22" s="1"/>
  <c r="L168" i="22"/>
  <c r="O168" i="22" s="1"/>
  <c r="L171" i="22"/>
  <c r="O171" i="22" s="1"/>
  <c r="P189" i="22"/>
  <c r="L217" i="22"/>
  <c r="O217" i="22" s="1"/>
  <c r="L300" i="22"/>
  <c r="O479" i="22"/>
  <c r="L525" i="22"/>
  <c r="L631" i="22"/>
  <c r="O631" i="22" s="1"/>
  <c r="M280" i="19"/>
  <c r="P280" i="19" s="1"/>
  <c r="N55" i="21"/>
  <c r="N53" i="21" s="1"/>
  <c r="L135" i="21"/>
  <c r="O135" i="21" s="1"/>
  <c r="M155" i="21"/>
  <c r="P155" i="21" s="1"/>
  <c r="I276" i="21"/>
  <c r="K276" i="21" s="1"/>
  <c r="L36" i="22"/>
  <c r="O58" i="22"/>
  <c r="P96" i="22"/>
  <c r="I190" i="22"/>
  <c r="K190" i="22" s="1"/>
  <c r="K215" i="22"/>
  <c r="L263" i="22"/>
  <c r="L261" i="22" s="1"/>
  <c r="M300" i="22"/>
  <c r="P300" i="22" s="1"/>
  <c r="M317" i="22"/>
  <c r="P317" i="22" s="1"/>
  <c r="J327" i="22"/>
  <c r="K327" i="22" s="1"/>
  <c r="M395" i="22"/>
  <c r="P395" i="22" s="1"/>
  <c r="K669" i="22"/>
  <c r="K824" i="22"/>
  <c r="L429" i="13"/>
  <c r="O429" i="13" s="1"/>
  <c r="L526" i="15"/>
  <c r="O526" i="15" s="1"/>
  <c r="O157" i="21"/>
  <c r="L187" i="21"/>
  <c r="O187" i="21" s="1"/>
  <c r="O46" i="22"/>
  <c r="P58" i="22"/>
  <c r="O351" i="22"/>
  <c r="K370" i="19"/>
  <c r="O61" i="21"/>
  <c r="L231" i="21"/>
  <c r="I433" i="21"/>
  <c r="I417" i="21" s="1"/>
  <c r="I654" i="21"/>
  <c r="N23" i="22"/>
  <c r="N21" i="22" s="1"/>
  <c r="N43" i="22"/>
  <c r="N41" i="22" s="1"/>
  <c r="N55" i="22"/>
  <c r="N53" i="22" s="1"/>
  <c r="M152" i="22"/>
  <c r="P152" i="22" s="1"/>
  <c r="M155" i="22"/>
  <c r="P155" i="22" s="1"/>
  <c r="M183" i="22"/>
  <c r="M181" i="22" s="1"/>
  <c r="P186" i="22"/>
  <c r="K204" i="22"/>
  <c r="L249" i="22"/>
  <c r="O249" i="22" s="1"/>
  <c r="N263" i="22"/>
  <c r="N261" i="22" s="1"/>
  <c r="M330" i="22"/>
  <c r="M328" i="22" s="1"/>
  <c r="P351" i="22"/>
  <c r="J433" i="22"/>
  <c r="J417" i="22" s="1"/>
  <c r="K417" i="22" s="1"/>
  <c r="M263" i="19"/>
  <c r="M261" i="19" s="1"/>
  <c r="O152" i="21"/>
  <c r="K828" i="21"/>
  <c r="N68" i="22"/>
  <c r="N66" i="22" s="1"/>
  <c r="P124" i="22"/>
  <c r="L134" i="22"/>
  <c r="O134" i="22" s="1"/>
  <c r="M405" i="22"/>
  <c r="P405" i="22" s="1"/>
  <c r="O472" i="22"/>
  <c r="J537" i="22"/>
  <c r="J522" i="22" s="1"/>
  <c r="I654" i="22"/>
  <c r="K654" i="22" s="1"/>
  <c r="K673" i="22"/>
  <c r="P690" i="22"/>
  <c r="M687" i="22"/>
  <c r="P687" i="22" s="1"/>
  <c r="M688" i="22"/>
  <c r="P688" i="22" s="1"/>
  <c r="L639" i="12"/>
  <c r="O639" i="12" s="1"/>
  <c r="L138" i="21"/>
  <c r="O138" i="21" s="1"/>
  <c r="M56" i="22"/>
  <c r="L90" i="22"/>
  <c r="L88" i="22" s="1"/>
  <c r="P91" i="22"/>
  <c r="M121" i="22"/>
  <c r="M125" i="22"/>
  <c r="P125" i="22" s="1"/>
  <c r="L198" i="22"/>
  <c r="O198" i="22" s="1"/>
  <c r="M267" i="22"/>
  <c r="P267" i="22" s="1"/>
  <c r="N280" i="22"/>
  <c r="O282" i="22"/>
  <c r="L317" i="22"/>
  <c r="O317" i="22" s="1"/>
  <c r="M321" i="22"/>
  <c r="P321" i="22" s="1"/>
  <c r="P323" i="22"/>
  <c r="P333" i="22"/>
  <c r="N348" i="22"/>
  <c r="O348" i="22" s="1"/>
  <c r="L421" i="22"/>
  <c r="L469" i="22"/>
  <c r="O469" i="22" s="1"/>
  <c r="K537" i="22"/>
  <c r="O634" i="22"/>
  <c r="K823" i="22"/>
  <c r="L404" i="19"/>
  <c r="O404" i="19" s="1"/>
  <c r="L230" i="21"/>
  <c r="N301" i="21"/>
  <c r="L395" i="21"/>
  <c r="O395" i="21" s="1"/>
  <c r="O44" i="22"/>
  <c r="N56" i="22"/>
  <c r="O56" i="22" s="1"/>
  <c r="L91" i="22"/>
  <c r="O91" i="22" s="1"/>
  <c r="N121" i="22"/>
  <c r="N119" i="22" s="1"/>
  <c r="M167" i="22"/>
  <c r="P167" i="22" s="1"/>
  <c r="P170" i="22"/>
  <c r="O285" i="22"/>
  <c r="O424" i="22"/>
  <c r="L446" i="22"/>
  <c r="O446" i="22" s="1"/>
  <c r="K800" i="22"/>
  <c r="I86" i="19"/>
  <c r="K86" i="19" s="1"/>
  <c r="N43" i="21"/>
  <c r="N41" i="21" s="1"/>
  <c r="L72" i="21"/>
  <c r="O72" i="21" s="1"/>
  <c r="P44" i="22"/>
  <c r="M55" i="22"/>
  <c r="O71" i="22"/>
  <c r="N167" i="22"/>
  <c r="N165" i="22" s="1"/>
  <c r="L238" i="22"/>
  <c r="L279" i="22"/>
  <c r="O279" i="22" s="1"/>
  <c r="N405" i="22"/>
  <c r="M408" i="22"/>
  <c r="P408" i="22" s="1"/>
  <c r="O456" i="22"/>
  <c r="O641" i="22"/>
  <c r="L657" i="22"/>
  <c r="L655" i="22" s="1"/>
  <c r="O655" i="22" s="1"/>
  <c r="L687" i="22"/>
  <c r="O687" i="22" s="1"/>
  <c r="K699" i="22"/>
  <c r="K725" i="22"/>
  <c r="K827" i="22"/>
  <c r="N151" i="21"/>
  <c r="N149" i="21" s="1"/>
  <c r="N279" i="21"/>
  <c r="N277" i="21" s="1"/>
  <c r="K672" i="21"/>
  <c r="M26" i="22"/>
  <c r="M24" i="22" s="1"/>
  <c r="L33" i="22"/>
  <c r="L31" i="22" s="1"/>
  <c r="O31" i="22" s="1"/>
  <c r="M43" i="22"/>
  <c r="M41" i="22" s="1"/>
  <c r="L26" i="22"/>
  <c r="L24" i="22" s="1"/>
  <c r="I77" i="22"/>
  <c r="K77" i="22" s="1"/>
  <c r="L151" i="22"/>
  <c r="O151" i="22" s="1"/>
  <c r="N183" i="22"/>
  <c r="O266" i="22"/>
  <c r="M279" i="22"/>
  <c r="P279" i="22" s="1"/>
  <c r="M301" i="22"/>
  <c r="P301" i="22" s="1"/>
  <c r="M304" i="22"/>
  <c r="P304" i="22" s="1"/>
  <c r="L391" i="22"/>
  <c r="L546" i="22"/>
  <c r="O546" i="22" s="1"/>
  <c r="K672" i="22"/>
  <c r="K723" i="22"/>
  <c r="K828" i="22"/>
  <c r="K821" i="21"/>
  <c r="L209" i="22"/>
  <c r="O209" i="22" s="1"/>
  <c r="P266" i="22"/>
  <c r="M347" i="22"/>
  <c r="M345" i="22" s="1"/>
  <c r="J721" i="22"/>
  <c r="K721" i="22" s="1"/>
  <c r="M9" i="22"/>
  <c r="P12" i="22"/>
  <c r="P15" i="22"/>
  <c r="N68" i="19"/>
  <c r="N66" i="19" s="1"/>
  <c r="M90" i="19"/>
  <c r="M88" i="19" s="1"/>
  <c r="N167" i="20"/>
  <c r="N165" i="20" s="1"/>
  <c r="M43" i="21"/>
  <c r="N69" i="21"/>
  <c r="P69" i="21" s="1"/>
  <c r="N134" i="21"/>
  <c r="N132" i="21" s="1"/>
  <c r="K244" i="21"/>
  <c r="K255" i="21"/>
  <c r="L318" i="21"/>
  <c r="O318" i="21" s="1"/>
  <c r="L405" i="21"/>
  <c r="O405" i="21" s="1"/>
  <c r="K827" i="21"/>
  <c r="N19" i="22"/>
  <c r="O25" i="22"/>
  <c r="L15" i="22"/>
  <c r="N26" i="22"/>
  <c r="N16" i="22" s="1"/>
  <c r="N14" i="22" s="1"/>
  <c r="M29" i="22"/>
  <c r="M47" i="22"/>
  <c r="P47" i="22" s="1"/>
  <c r="M69" i="22"/>
  <c r="P69" i="22" s="1"/>
  <c r="M90" i="22"/>
  <c r="I112" i="22"/>
  <c r="K112" i="22" s="1"/>
  <c r="L121" i="22"/>
  <c r="O121" i="22" s="1"/>
  <c r="M47" i="19"/>
  <c r="P47" i="19" s="1"/>
  <c r="M347" i="21"/>
  <c r="L33" i="21"/>
  <c r="L31" i="21" s="1"/>
  <c r="O31" i="21" s="1"/>
  <c r="N29" i="22"/>
  <c r="N28" i="22" s="1"/>
  <c r="L55" i="22"/>
  <c r="N90" i="22"/>
  <c r="K99" i="22"/>
  <c r="I164" i="22"/>
  <c r="K164" i="22" s="1"/>
  <c r="K174" i="22"/>
  <c r="K723" i="20"/>
  <c r="K822" i="20"/>
  <c r="K828" i="20"/>
  <c r="P59" i="21"/>
  <c r="M138" i="21"/>
  <c r="P138" i="21" s="1"/>
  <c r="N263" i="21"/>
  <c r="N261" i="21" s="1"/>
  <c r="L330" i="21"/>
  <c r="L328" i="21" s="1"/>
  <c r="N330" i="21"/>
  <c r="N328" i="21" s="1"/>
  <c r="K338" i="21"/>
  <c r="I364" i="21"/>
  <c r="K370" i="21"/>
  <c r="M634" i="21"/>
  <c r="M632" i="21" s="1"/>
  <c r="K647" i="21"/>
  <c r="K708" i="21"/>
  <c r="O61" i="22"/>
  <c r="P93" i="22"/>
  <c r="O133" i="22"/>
  <c r="P137" i="22"/>
  <c r="M135" i="22"/>
  <c r="P135" i="22" s="1"/>
  <c r="L69" i="20"/>
  <c r="O69" i="20" s="1"/>
  <c r="M138" i="20"/>
  <c r="P138" i="20" s="1"/>
  <c r="L121" i="21"/>
  <c r="O121" i="21" s="1"/>
  <c r="I233" i="21"/>
  <c r="K233" i="21" s="1"/>
  <c r="M283" i="21"/>
  <c r="P283" i="21" s="1"/>
  <c r="M395" i="21"/>
  <c r="P395" i="21" s="1"/>
  <c r="K577" i="21"/>
  <c r="O12" i="22"/>
  <c r="L9" i="22"/>
  <c r="P25" i="22"/>
  <c r="P46" i="22"/>
  <c r="M23" i="22"/>
  <c r="M68" i="22"/>
  <c r="P140" i="22"/>
  <c r="M138" i="22"/>
  <c r="P138" i="22" s="1"/>
  <c r="L56" i="21"/>
  <c r="O56" i="21" s="1"/>
  <c r="L59" i="21"/>
  <c r="O59" i="21" s="1"/>
  <c r="L69" i="21"/>
  <c r="M68" i="21"/>
  <c r="M66" i="21" s="1"/>
  <c r="M187" i="21"/>
  <c r="P187" i="21" s="1"/>
  <c r="K379" i="21"/>
  <c r="I443" i="21"/>
  <c r="K443" i="21" s="1"/>
  <c r="K701" i="21"/>
  <c r="L19" i="22"/>
  <c r="L23" i="22"/>
  <c r="O32" i="22"/>
  <c r="L29" i="22"/>
  <c r="L43" i="22"/>
  <c r="M72" i="22"/>
  <c r="P72" i="22" s="1"/>
  <c r="K80" i="22"/>
  <c r="I76" i="22"/>
  <c r="L122" i="22"/>
  <c r="O122" i="22" s="1"/>
  <c r="O91" i="21"/>
  <c r="I143" i="22"/>
  <c r="K248" i="22"/>
  <c r="N317" i="22"/>
  <c r="N315" i="22" s="1"/>
  <c r="O353" i="22"/>
  <c r="K365" i="22"/>
  <c r="O394" i="22"/>
  <c r="M404" i="22"/>
  <c r="P404" i="22" s="1"/>
  <c r="K438" i="22"/>
  <c r="I434" i="22"/>
  <c r="N447" i="22"/>
  <c r="N446" i="22"/>
  <c r="N444" i="22" s="1"/>
  <c r="N754" i="22"/>
  <c r="O154" i="22"/>
  <c r="O157" i="22"/>
  <c r="N184" i="22"/>
  <c r="P262" i="22"/>
  <c r="L264" i="22"/>
  <c r="O264" i="22" s="1"/>
  <c r="L267" i="22"/>
  <c r="O267" i="22" s="1"/>
  <c r="M280" i="22"/>
  <c r="P280" i="22" s="1"/>
  <c r="M283" i="22"/>
  <c r="P283" i="22" s="1"/>
  <c r="P299" i="22"/>
  <c r="L301" i="22"/>
  <c r="O301" i="22" s="1"/>
  <c r="L304" i="22"/>
  <c r="O304" i="22" s="1"/>
  <c r="O320" i="22"/>
  <c r="M334" i="22"/>
  <c r="P334" i="22" s="1"/>
  <c r="O350" i="22"/>
  <c r="P353" i="22"/>
  <c r="P394" i="22"/>
  <c r="L405" i="22"/>
  <c r="O405" i="22" s="1"/>
  <c r="O407" i="22"/>
  <c r="N657" i="22"/>
  <c r="N655" i="22" s="1"/>
  <c r="N658" i="22"/>
  <c r="O658" i="22" s="1"/>
  <c r="K559" i="22"/>
  <c r="I543" i="22"/>
  <c r="K543" i="22" s="1"/>
  <c r="K176" i="22"/>
  <c r="O186" i="22"/>
  <c r="I275" i="22"/>
  <c r="K275" i="22" s="1"/>
  <c r="J288" i="22"/>
  <c r="J275" i="22" s="1"/>
  <c r="I314" i="22"/>
  <c r="K314" i="22" s="1"/>
  <c r="L330" i="22"/>
  <c r="N331" i="22"/>
  <c r="O331" i="22" s="1"/>
  <c r="M392" i="22"/>
  <c r="P392" i="22" s="1"/>
  <c r="P403" i="22"/>
  <c r="O333" i="22"/>
  <c r="L347" i="22"/>
  <c r="O397" i="22"/>
  <c r="L404" i="22"/>
  <c r="O404" i="22" s="1"/>
  <c r="P424" i="22"/>
  <c r="M421" i="22"/>
  <c r="M422" i="22"/>
  <c r="P422" i="22" s="1"/>
  <c r="M446" i="22"/>
  <c r="M447" i="22"/>
  <c r="P449" i="22"/>
  <c r="N737" i="22"/>
  <c r="N414" i="22" s="1"/>
  <c r="O410" i="22"/>
  <c r="L422" i="22"/>
  <c r="O422" i="22" s="1"/>
  <c r="I442" i="22"/>
  <c r="K442" i="22" s="1"/>
  <c r="M467" i="22"/>
  <c r="P467" i="22" s="1"/>
  <c r="M502" i="22"/>
  <c r="P502" i="22" s="1"/>
  <c r="M549" i="22"/>
  <c r="O557" i="22"/>
  <c r="K593" i="22"/>
  <c r="M629" i="22"/>
  <c r="P629" i="22" s="1"/>
  <c r="M660" i="22"/>
  <c r="L737" i="22"/>
  <c r="O737" i="22" s="1"/>
  <c r="L754" i="22"/>
  <c r="O754" i="22" s="1"/>
  <c r="L770" i="22"/>
  <c r="O770" i="22" s="1"/>
  <c r="N808" i="22"/>
  <c r="O449" i="22"/>
  <c r="O468" i="22"/>
  <c r="O503" i="22"/>
  <c r="M545" i="22"/>
  <c r="K576" i="22"/>
  <c r="O630" i="22"/>
  <c r="K651" i="22"/>
  <c r="M737" i="22"/>
  <c r="P737" i="22" s="1"/>
  <c r="M754" i="22"/>
  <c r="P754" i="22" s="1"/>
  <c r="M770" i="22"/>
  <c r="P770" i="22" s="1"/>
  <c r="O791" i="22"/>
  <c r="L805" i="22"/>
  <c r="O805" i="22" s="1"/>
  <c r="O549" i="22"/>
  <c r="O660" i="22"/>
  <c r="L447" i="22"/>
  <c r="M317" i="19"/>
  <c r="P317" i="19" s="1"/>
  <c r="K460" i="19"/>
  <c r="M26" i="20"/>
  <c r="M16" i="20" s="1"/>
  <c r="M134" i="20"/>
  <c r="P134" i="20" s="1"/>
  <c r="M391" i="20"/>
  <c r="P391" i="20" s="1"/>
  <c r="M660" i="20"/>
  <c r="M657" i="20" s="1"/>
  <c r="P657" i="20" s="1"/>
  <c r="K700" i="20"/>
  <c r="M56" i="21"/>
  <c r="P56" i="21" s="1"/>
  <c r="M135" i="21"/>
  <c r="P135" i="21" s="1"/>
  <c r="L171" i="21"/>
  <c r="O171" i="21" s="1"/>
  <c r="O186" i="21"/>
  <c r="I216" i="21"/>
  <c r="K216" i="21" s="1"/>
  <c r="I297" i="21"/>
  <c r="K297" i="21" s="1"/>
  <c r="M321" i="21"/>
  <c r="P321" i="21" s="1"/>
  <c r="N331" i="21"/>
  <c r="O331" i="21" s="1"/>
  <c r="L334" i="21"/>
  <c r="O334" i="21" s="1"/>
  <c r="N347" i="21"/>
  <c r="N345" i="21" s="1"/>
  <c r="O456" i="21"/>
  <c r="M549" i="21"/>
  <c r="M547" i="21" s="1"/>
  <c r="P547" i="21" s="1"/>
  <c r="O634" i="21"/>
  <c r="K651" i="21"/>
  <c r="K824" i="21"/>
  <c r="I522" i="3"/>
  <c r="K522" i="3" s="1"/>
  <c r="M135" i="20"/>
  <c r="P135" i="20" s="1"/>
  <c r="L138" i="20"/>
  <c r="O138" i="20" s="1"/>
  <c r="M94" i="21"/>
  <c r="P94" i="21" s="1"/>
  <c r="O96" i="21"/>
  <c r="N135" i="21"/>
  <c r="M151" i="21"/>
  <c r="M171" i="21"/>
  <c r="P171" i="21" s="1"/>
  <c r="P186" i="21"/>
  <c r="J355" i="21"/>
  <c r="K355" i="21" s="1"/>
  <c r="J364" i="21"/>
  <c r="K593" i="21"/>
  <c r="I260" i="20"/>
  <c r="K260" i="20" s="1"/>
  <c r="I654" i="20"/>
  <c r="K654" i="20" s="1"/>
  <c r="I77" i="21"/>
  <c r="K77" i="21" s="1"/>
  <c r="O280" i="21"/>
  <c r="K381" i="21"/>
  <c r="N404" i="21"/>
  <c r="N402" i="21" s="1"/>
  <c r="I522" i="21"/>
  <c r="K522" i="21" s="1"/>
  <c r="K649" i="21"/>
  <c r="L230" i="20"/>
  <c r="O353" i="21"/>
  <c r="L446" i="21"/>
  <c r="L444" i="21" s="1"/>
  <c r="O444" i="21" s="1"/>
  <c r="L36" i="21"/>
  <c r="P353" i="20"/>
  <c r="P170" i="21"/>
  <c r="K359" i="21"/>
  <c r="K723" i="21"/>
  <c r="K823" i="21"/>
  <c r="N317" i="21"/>
  <c r="N315" i="21" s="1"/>
  <c r="N318" i="21"/>
  <c r="J537" i="21"/>
  <c r="J522" i="21" s="1"/>
  <c r="K538" i="21"/>
  <c r="M134" i="19"/>
  <c r="P134" i="19" s="1"/>
  <c r="P137" i="19"/>
  <c r="L152" i="20"/>
  <c r="O152" i="20" s="1"/>
  <c r="K174" i="20"/>
  <c r="L217" i="20"/>
  <c r="O217" i="20" s="1"/>
  <c r="M334" i="20"/>
  <c r="P334" i="20" s="1"/>
  <c r="M392" i="20"/>
  <c r="P392" i="20" s="1"/>
  <c r="M395" i="20"/>
  <c r="P395" i="20" s="1"/>
  <c r="I559" i="20"/>
  <c r="K559" i="20" s="1"/>
  <c r="L657" i="20"/>
  <c r="L655" i="20" s="1"/>
  <c r="N44" i="21"/>
  <c r="P44" i="21" s="1"/>
  <c r="P61" i="21"/>
  <c r="M72" i="21"/>
  <c r="P72" i="21" s="1"/>
  <c r="K79" i="21"/>
  <c r="O127" i="21"/>
  <c r="L134" i="21"/>
  <c r="O134" i="21" s="1"/>
  <c r="L184" i="21"/>
  <c r="O184" i="21" s="1"/>
  <c r="N264" i="21"/>
  <c r="O264" i="21" s="1"/>
  <c r="M267" i="21"/>
  <c r="P267" i="21" s="1"/>
  <c r="M318" i="21"/>
  <c r="P318" i="21" s="1"/>
  <c r="O690" i="21"/>
  <c r="L688" i="21"/>
  <c r="O688" i="21" s="1"/>
  <c r="M152" i="20"/>
  <c r="P152" i="20" s="1"/>
  <c r="N183" i="20"/>
  <c r="N181" i="20" s="1"/>
  <c r="M279" i="20"/>
  <c r="P279" i="20" s="1"/>
  <c r="M321" i="20"/>
  <c r="P321" i="20" s="1"/>
  <c r="O336" i="20"/>
  <c r="L90" i="21"/>
  <c r="P91" i="21"/>
  <c r="M134" i="21"/>
  <c r="P134" i="21" s="1"/>
  <c r="O154" i="21"/>
  <c r="M168" i="21"/>
  <c r="P168" i="21" s="1"/>
  <c r="M184" i="21"/>
  <c r="P184" i="21" s="1"/>
  <c r="N183" i="21"/>
  <c r="N181" i="21" s="1"/>
  <c r="P333" i="21"/>
  <c r="M331" i="21"/>
  <c r="L392" i="21"/>
  <c r="O392" i="21" s="1"/>
  <c r="P394" i="21"/>
  <c r="M391" i="21"/>
  <c r="P391" i="21" s="1"/>
  <c r="M690" i="21"/>
  <c r="K825" i="21"/>
  <c r="M23" i="21"/>
  <c r="L26" i="21"/>
  <c r="L24" i="21" s="1"/>
  <c r="N26" i="21"/>
  <c r="N24" i="21" s="1"/>
  <c r="L55" i="21"/>
  <c r="L53" i="21" s="1"/>
  <c r="N90" i="21"/>
  <c r="N88" i="21" s="1"/>
  <c r="P154" i="21"/>
  <c r="L198" i="21"/>
  <c r="O198" i="21" s="1"/>
  <c r="O306" i="21"/>
  <c r="L304" i="21"/>
  <c r="O304" i="21" s="1"/>
  <c r="M404" i="21"/>
  <c r="P410" i="21"/>
  <c r="K460" i="21"/>
  <c r="I442" i="21"/>
  <c r="K442" i="21" s="1"/>
  <c r="L639" i="21"/>
  <c r="O639" i="21" s="1"/>
  <c r="O641" i="21"/>
  <c r="O687" i="21"/>
  <c r="L685" i="21"/>
  <c r="O685" i="21" s="1"/>
  <c r="L788" i="21"/>
  <c r="O788" i="21" s="1"/>
  <c r="I143" i="20"/>
  <c r="K143" i="20" s="1"/>
  <c r="L263" i="20"/>
  <c r="L261" i="20" s="1"/>
  <c r="O333" i="20"/>
  <c r="N23" i="21"/>
  <c r="M26" i="21"/>
  <c r="M16" i="21" s="1"/>
  <c r="L249" i="21"/>
  <c r="O249" i="21" s="1"/>
  <c r="O266" i="21"/>
  <c r="P303" i="21"/>
  <c r="M301" i="21"/>
  <c r="M424" i="21"/>
  <c r="P424" i="21" s="1"/>
  <c r="L422" i="21"/>
  <c r="O422" i="21" s="1"/>
  <c r="L421" i="21"/>
  <c r="L419" i="21" s="1"/>
  <c r="L68" i="20"/>
  <c r="O68" i="20" s="1"/>
  <c r="O350" i="20"/>
  <c r="K821" i="20"/>
  <c r="K827" i="20"/>
  <c r="L44" i="21"/>
  <c r="P46" i="21"/>
  <c r="K100" i="21"/>
  <c r="M122" i="21"/>
  <c r="P122" i="21" s="1"/>
  <c r="N121" i="21"/>
  <c r="N119" i="21" s="1"/>
  <c r="L217" i="21"/>
  <c r="O217" i="21" s="1"/>
  <c r="L238" i="21"/>
  <c r="O238" i="21" s="1"/>
  <c r="P266" i="21"/>
  <c r="J288" i="21"/>
  <c r="J275" i="21" s="1"/>
  <c r="K275" i="21" s="1"/>
  <c r="K372" i="21"/>
  <c r="P407" i="21"/>
  <c r="M405" i="21"/>
  <c r="P405" i="21" s="1"/>
  <c r="J433" i="21"/>
  <c r="J417" i="21" s="1"/>
  <c r="K365" i="21"/>
  <c r="K385" i="21"/>
  <c r="N391" i="21"/>
  <c r="N389" i="21" s="1"/>
  <c r="L447" i="21"/>
  <c r="O549" i="21"/>
  <c r="K673" i="21"/>
  <c r="K340" i="21"/>
  <c r="O348" i="21"/>
  <c r="K674" i="21"/>
  <c r="K826" i="21"/>
  <c r="K374" i="21"/>
  <c r="K720" i="21"/>
  <c r="K729" i="21"/>
  <c r="K822" i="21"/>
  <c r="O12" i="21"/>
  <c r="P12" i="21"/>
  <c r="K828" i="18"/>
  <c r="I237" i="19"/>
  <c r="K237" i="19" s="1"/>
  <c r="L47" i="20"/>
  <c r="O47" i="20" s="1"/>
  <c r="M125" i="20"/>
  <c r="P125" i="20" s="1"/>
  <c r="I148" i="20"/>
  <c r="K148" i="20" s="1"/>
  <c r="M151" i="20"/>
  <c r="P151" i="20" s="1"/>
  <c r="M280" i="20"/>
  <c r="P280" i="20" s="1"/>
  <c r="M283" i="20"/>
  <c r="P283" i="20" s="1"/>
  <c r="L301" i="20"/>
  <c r="O301" i="20" s="1"/>
  <c r="L321" i="20"/>
  <c r="O321" i="20" s="1"/>
  <c r="M330" i="20"/>
  <c r="M328" i="20" s="1"/>
  <c r="L470" i="20"/>
  <c r="O470" i="20" s="1"/>
  <c r="J537" i="20"/>
  <c r="J522" i="20" s="1"/>
  <c r="K823" i="20"/>
  <c r="K826" i="20"/>
  <c r="M15" i="21"/>
  <c r="M9" i="21" s="1"/>
  <c r="L19" i="21"/>
  <c r="O22" i="21"/>
  <c r="P71" i="21"/>
  <c r="I112" i="21"/>
  <c r="K112" i="21" s="1"/>
  <c r="P166" i="21"/>
  <c r="O184" i="20"/>
  <c r="P93" i="21"/>
  <c r="N184" i="19"/>
  <c r="P184" i="19" s="1"/>
  <c r="M91" i="20"/>
  <c r="P91" i="20" s="1"/>
  <c r="N347" i="20"/>
  <c r="N345" i="20" s="1"/>
  <c r="M351" i="20"/>
  <c r="P351" i="20" s="1"/>
  <c r="L477" i="20"/>
  <c r="O477" i="20" s="1"/>
  <c r="P127" i="21"/>
  <c r="M125" i="21"/>
  <c r="P125" i="21" s="1"/>
  <c r="L68" i="19"/>
  <c r="L66" i="19" s="1"/>
  <c r="O66" i="19" s="1"/>
  <c r="I76" i="20"/>
  <c r="K76" i="20" s="1"/>
  <c r="P93" i="20"/>
  <c r="M155" i="20"/>
  <c r="P155" i="20" s="1"/>
  <c r="N263" i="20"/>
  <c r="N261" i="20" s="1"/>
  <c r="N29" i="21"/>
  <c r="N28" i="21" s="1"/>
  <c r="O46" i="21"/>
  <c r="L23" i="21"/>
  <c r="P58" i="21"/>
  <c r="M90" i="21"/>
  <c r="O93" i="21"/>
  <c r="N167" i="21"/>
  <c r="N165" i="21" s="1"/>
  <c r="K708" i="17"/>
  <c r="M94" i="20"/>
  <c r="P94" i="20" s="1"/>
  <c r="N90" i="20"/>
  <c r="K100" i="20"/>
  <c r="I112" i="20"/>
  <c r="K112" i="20" s="1"/>
  <c r="M121" i="20"/>
  <c r="M187" i="20"/>
  <c r="P187" i="20" s="1"/>
  <c r="L228" i="20"/>
  <c r="I275" i="20"/>
  <c r="K275" i="20" s="1"/>
  <c r="L317" i="20"/>
  <c r="P22" i="21"/>
  <c r="M19" i="21"/>
  <c r="M34" i="21"/>
  <c r="P34" i="21" s="1"/>
  <c r="K86" i="21"/>
  <c r="K98" i="21"/>
  <c r="O133" i="21"/>
  <c r="J143" i="21"/>
  <c r="J131" i="21" s="1"/>
  <c r="K145" i="21"/>
  <c r="I143" i="21"/>
  <c r="O150" i="21"/>
  <c r="O170" i="21"/>
  <c r="L167" i="21"/>
  <c r="O46" i="19"/>
  <c r="N69" i="19"/>
  <c r="M321" i="19"/>
  <c r="P321" i="19" s="1"/>
  <c r="L526" i="19"/>
  <c r="O526" i="19" s="1"/>
  <c r="J721" i="19"/>
  <c r="K721" i="19" s="1"/>
  <c r="N94" i="20"/>
  <c r="P124" i="20"/>
  <c r="L280" i="20"/>
  <c r="O280" i="20" s="1"/>
  <c r="N300" i="20"/>
  <c r="N298" i="20" s="1"/>
  <c r="M317" i="20"/>
  <c r="P317" i="20" s="1"/>
  <c r="P320" i="20"/>
  <c r="L404" i="20"/>
  <c r="O404" i="20" s="1"/>
  <c r="I628" i="20"/>
  <c r="K628" i="20" s="1"/>
  <c r="K825" i="20"/>
  <c r="L15" i="21"/>
  <c r="N19" i="21"/>
  <c r="N12" i="21"/>
  <c r="O25" i="21"/>
  <c r="P42" i="21"/>
  <c r="O71" i="21"/>
  <c r="I76" i="21"/>
  <c r="K99" i="21"/>
  <c r="I87" i="21"/>
  <c r="K87" i="21" s="1"/>
  <c r="M121" i="21"/>
  <c r="L122" i="21"/>
  <c r="O122" i="21" s="1"/>
  <c r="O124" i="21"/>
  <c r="P150" i="21"/>
  <c r="L168" i="21"/>
  <c r="O168" i="21" s="1"/>
  <c r="K176" i="21"/>
  <c r="I174" i="21"/>
  <c r="K146" i="21"/>
  <c r="L151" i="21"/>
  <c r="M167" i="21"/>
  <c r="I226" i="21"/>
  <c r="L229" i="21"/>
  <c r="L267" i="21"/>
  <c r="O267" i="21" s="1"/>
  <c r="P282" i="21"/>
  <c r="O303" i="21"/>
  <c r="J327" i="21"/>
  <c r="K327" i="21" s="1"/>
  <c r="P348" i="21"/>
  <c r="P350" i="21"/>
  <c r="K360" i="21"/>
  <c r="O407" i="21"/>
  <c r="I434" i="21"/>
  <c r="P468" i="21"/>
  <c r="L477" i="21"/>
  <c r="O477" i="21" s="1"/>
  <c r="M502" i="21"/>
  <c r="P502" i="21" s="1"/>
  <c r="P503" i="21"/>
  <c r="L533" i="21"/>
  <c r="O533" i="21" s="1"/>
  <c r="L525" i="21"/>
  <c r="O525" i="21" s="1"/>
  <c r="I208" i="21"/>
  <c r="K208" i="21" s="1"/>
  <c r="L209" i="21"/>
  <c r="O209" i="21" s="1"/>
  <c r="M264" i="21"/>
  <c r="M280" i="21"/>
  <c r="P280" i="21" s="1"/>
  <c r="L301" i="21"/>
  <c r="M304" i="21"/>
  <c r="P304" i="21" s="1"/>
  <c r="M317" i="21"/>
  <c r="L347" i="21"/>
  <c r="L351" i="21"/>
  <c r="O351" i="21" s="1"/>
  <c r="P353" i="21"/>
  <c r="K378" i="21"/>
  <c r="L391" i="21"/>
  <c r="O472" i="21"/>
  <c r="L469" i="21"/>
  <c r="O469" i="21" s="1"/>
  <c r="O524" i="21"/>
  <c r="O535" i="21"/>
  <c r="L263" i="21"/>
  <c r="L279" i="21"/>
  <c r="P351" i="21"/>
  <c r="N419" i="21"/>
  <c r="M472" i="21"/>
  <c r="L183" i="21"/>
  <c r="I190" i="21"/>
  <c r="K190" i="21" s="1"/>
  <c r="L228" i="21"/>
  <c r="M263" i="21"/>
  <c r="O285" i="21"/>
  <c r="M330" i="21"/>
  <c r="M334" i="21"/>
  <c r="P334" i="21" s="1"/>
  <c r="M446" i="21"/>
  <c r="M447" i="21"/>
  <c r="P449" i="21"/>
  <c r="L470" i="21"/>
  <c r="O470" i="21" s="1"/>
  <c r="M183" i="21"/>
  <c r="K204" i="21"/>
  <c r="I197" i="21"/>
  <c r="K197" i="21" s="1"/>
  <c r="O282" i="21"/>
  <c r="M300" i="21"/>
  <c r="O316" i="21"/>
  <c r="N447" i="21"/>
  <c r="O449" i="21"/>
  <c r="O468" i="21"/>
  <c r="O333" i="21"/>
  <c r="O350" i="21"/>
  <c r="K369" i="21"/>
  <c r="O424" i="21"/>
  <c r="K594" i="21"/>
  <c r="J654" i="21"/>
  <c r="K669" i="21"/>
  <c r="N805" i="21"/>
  <c r="I559" i="21"/>
  <c r="J592" i="21"/>
  <c r="K592" i="21" s="1"/>
  <c r="I628" i="21"/>
  <c r="K628" i="21" s="1"/>
  <c r="M660" i="21"/>
  <c r="L737" i="21"/>
  <c r="O737" i="21" s="1"/>
  <c r="L754" i="21"/>
  <c r="O754" i="21" s="1"/>
  <c r="L770" i="21"/>
  <c r="O770" i="21" s="1"/>
  <c r="N808" i="21"/>
  <c r="M523" i="21"/>
  <c r="P523" i="21" s="1"/>
  <c r="P545" i="21"/>
  <c r="L631" i="21"/>
  <c r="M737" i="21"/>
  <c r="P737" i="21" s="1"/>
  <c r="M754" i="21"/>
  <c r="P754" i="21" s="1"/>
  <c r="O791" i="21"/>
  <c r="L805" i="21"/>
  <c r="O805" i="21" s="1"/>
  <c r="L546" i="21"/>
  <c r="L555" i="21"/>
  <c r="O555" i="21" s="1"/>
  <c r="N632" i="21"/>
  <c r="O632" i="21" s="1"/>
  <c r="O660" i="21"/>
  <c r="N547" i="21"/>
  <c r="O547" i="21" s="1"/>
  <c r="P264" i="20"/>
  <c r="I86" i="18"/>
  <c r="K86" i="18" s="1"/>
  <c r="M263" i="18"/>
  <c r="M261" i="18" s="1"/>
  <c r="K365" i="19"/>
  <c r="L59" i="20"/>
  <c r="O59" i="20" s="1"/>
  <c r="I77" i="20"/>
  <c r="K77" i="20" s="1"/>
  <c r="K98" i="20"/>
  <c r="L122" i="20"/>
  <c r="O122" i="20" s="1"/>
  <c r="L121" i="20"/>
  <c r="L119" i="20" s="1"/>
  <c r="O119" i="20" s="1"/>
  <c r="L249" i="20"/>
  <c r="O249" i="20" s="1"/>
  <c r="L283" i="20"/>
  <c r="O283" i="20" s="1"/>
  <c r="N301" i="20"/>
  <c r="P333" i="20"/>
  <c r="O397" i="20"/>
  <c r="N404" i="20"/>
  <c r="N402" i="20" s="1"/>
  <c r="K460" i="20"/>
  <c r="K538" i="20"/>
  <c r="L639" i="20"/>
  <c r="O639" i="20" s="1"/>
  <c r="K674" i="20"/>
  <c r="L230" i="18"/>
  <c r="K374" i="19"/>
  <c r="K79" i="20"/>
  <c r="L267" i="20"/>
  <c r="O267" i="20" s="1"/>
  <c r="L318" i="20"/>
  <c r="O318" i="20" s="1"/>
  <c r="P331" i="20"/>
  <c r="K800" i="20"/>
  <c r="I364" i="19"/>
  <c r="K176" i="20"/>
  <c r="O351" i="20"/>
  <c r="J721" i="20"/>
  <c r="K721" i="20" s="1"/>
  <c r="O186" i="19"/>
  <c r="O301" i="19"/>
  <c r="L55" i="20"/>
  <c r="L53" i="20" s="1"/>
  <c r="L631" i="20"/>
  <c r="O631" i="20" s="1"/>
  <c r="N134" i="18"/>
  <c r="N132" i="18" s="1"/>
  <c r="L36" i="20"/>
  <c r="O36" i="20" s="1"/>
  <c r="M69" i="20"/>
  <c r="P69" i="20" s="1"/>
  <c r="M171" i="20"/>
  <c r="P171" i="20" s="1"/>
  <c r="O189" i="20"/>
  <c r="L209" i="20"/>
  <c r="O209" i="20" s="1"/>
  <c r="N348" i="20"/>
  <c r="O348" i="20" s="1"/>
  <c r="N391" i="20"/>
  <c r="N389" i="20" s="1"/>
  <c r="K725" i="20"/>
  <c r="K824" i="20"/>
  <c r="O91" i="19"/>
  <c r="L121" i="18"/>
  <c r="L119" i="18" s="1"/>
  <c r="N279" i="18"/>
  <c r="N277" i="18" s="1"/>
  <c r="O168" i="19"/>
  <c r="K372" i="19"/>
  <c r="M171" i="16"/>
  <c r="P171" i="16" s="1"/>
  <c r="M151" i="19"/>
  <c r="M149" i="19" s="1"/>
  <c r="L167" i="19"/>
  <c r="L165" i="19" s="1"/>
  <c r="N391" i="19"/>
  <c r="N389" i="19" s="1"/>
  <c r="M134" i="18"/>
  <c r="P134" i="18" s="1"/>
  <c r="M300" i="18"/>
  <c r="P300" i="18" s="1"/>
  <c r="J722" i="18"/>
  <c r="L229" i="19"/>
  <c r="L347" i="19"/>
  <c r="L345" i="19" s="1"/>
  <c r="I76" i="18"/>
  <c r="K76" i="18" s="1"/>
  <c r="L228" i="18"/>
  <c r="M43" i="19"/>
  <c r="M41" i="19" s="1"/>
  <c r="P46" i="19"/>
  <c r="O74" i="19"/>
  <c r="M152" i="19"/>
  <c r="L72" i="20"/>
  <c r="O72" i="20" s="1"/>
  <c r="K78" i="20"/>
  <c r="K224" i="20"/>
  <c r="O264" i="20"/>
  <c r="L279" i="20"/>
  <c r="J288" i="20"/>
  <c r="J275" i="20" s="1"/>
  <c r="L56" i="20"/>
  <c r="M72" i="20"/>
  <c r="P72" i="20" s="1"/>
  <c r="L125" i="20"/>
  <c r="O125" i="20" s="1"/>
  <c r="N168" i="20"/>
  <c r="P168" i="20" s="1"/>
  <c r="P170" i="20"/>
  <c r="I190" i="20"/>
  <c r="K190" i="20" s="1"/>
  <c r="J327" i="20"/>
  <c r="K327" i="20" s="1"/>
  <c r="P407" i="20"/>
  <c r="O535" i="20"/>
  <c r="L43" i="20"/>
  <c r="L41" i="20" s="1"/>
  <c r="O58" i="20"/>
  <c r="O91" i="20"/>
  <c r="K99" i="20"/>
  <c r="K216" i="20"/>
  <c r="K338" i="20"/>
  <c r="O353" i="20"/>
  <c r="J364" i="20"/>
  <c r="I434" i="20"/>
  <c r="K434" i="20" s="1"/>
  <c r="L469" i="20"/>
  <c r="O469" i="20" s="1"/>
  <c r="L525" i="20"/>
  <c r="O525" i="20" s="1"/>
  <c r="L632" i="20"/>
  <c r="O632" i="20" s="1"/>
  <c r="O690" i="20"/>
  <c r="O46" i="20"/>
  <c r="M68" i="20"/>
  <c r="P68" i="20" s="1"/>
  <c r="O127" i="20"/>
  <c r="J143" i="20"/>
  <c r="J131" i="20" s="1"/>
  <c r="O186" i="20"/>
  <c r="O394" i="20"/>
  <c r="L546" i="20"/>
  <c r="L544" i="20" s="1"/>
  <c r="O544" i="20" s="1"/>
  <c r="O549" i="20"/>
  <c r="M167" i="20"/>
  <c r="M165" i="20" s="1"/>
  <c r="K164" i="20"/>
  <c r="L238" i="20"/>
  <c r="P306" i="20"/>
  <c r="L547" i="20"/>
  <c r="O547" i="20" s="1"/>
  <c r="J722" i="20"/>
  <c r="K722" i="20" s="1"/>
  <c r="P19" i="20"/>
  <c r="N151" i="19"/>
  <c r="N149" i="19" s="1"/>
  <c r="N152" i="19"/>
  <c r="O152" i="19" s="1"/>
  <c r="I148" i="19"/>
  <c r="K148" i="19" s="1"/>
  <c r="K159" i="19"/>
  <c r="N30" i="20"/>
  <c r="N28" i="20" s="1"/>
  <c r="N31" i="20"/>
  <c r="O262" i="20"/>
  <c r="N321" i="20"/>
  <c r="N317" i="20"/>
  <c r="N315" i="20" s="1"/>
  <c r="L789" i="20"/>
  <c r="O789" i="20" s="1"/>
  <c r="O791" i="20"/>
  <c r="L788" i="20"/>
  <c r="O788" i="20" s="1"/>
  <c r="L33" i="20"/>
  <c r="N43" i="17"/>
  <c r="J721" i="17"/>
  <c r="K721" i="17" s="1"/>
  <c r="P140" i="19"/>
  <c r="M138" i="19"/>
  <c r="P138" i="19" s="1"/>
  <c r="N264" i="19"/>
  <c r="P264" i="19" s="1"/>
  <c r="N263" i="19"/>
  <c r="N261" i="19" s="1"/>
  <c r="O44" i="20"/>
  <c r="L171" i="20"/>
  <c r="O171" i="20" s="1"/>
  <c r="O173" i="20"/>
  <c r="I233" i="20"/>
  <c r="K233" i="20" s="1"/>
  <c r="K244" i="20"/>
  <c r="I237" i="20"/>
  <c r="N47" i="20"/>
  <c r="N43" i="20"/>
  <c r="N41" i="20" s="1"/>
  <c r="M94" i="17"/>
  <c r="P94" i="17" s="1"/>
  <c r="L72" i="18"/>
  <c r="O72" i="18" s="1"/>
  <c r="L68" i="18"/>
  <c r="L66" i="18" s="1"/>
  <c r="L94" i="19"/>
  <c r="O94" i="19" s="1"/>
  <c r="O96" i="19"/>
  <c r="N26" i="20"/>
  <c r="P46" i="20"/>
  <c r="M44" i="20"/>
  <c r="P44" i="20" s="1"/>
  <c r="M23" i="20"/>
  <c r="M21" i="20" s="1"/>
  <c r="M43" i="20"/>
  <c r="N69" i="20"/>
  <c r="N23" i="20"/>
  <c r="N68" i="20"/>
  <c r="N66" i="20" s="1"/>
  <c r="L94" i="20"/>
  <c r="O94" i="20" s="1"/>
  <c r="O96" i="20"/>
  <c r="N122" i="20"/>
  <c r="N121" i="20"/>
  <c r="N119" i="20" s="1"/>
  <c r="O137" i="20"/>
  <c r="L134" i="20"/>
  <c r="O157" i="20"/>
  <c r="L151" i="20"/>
  <c r="O166" i="20"/>
  <c r="O306" i="20"/>
  <c r="L300" i="20"/>
  <c r="L304" i="20"/>
  <c r="O304" i="20" s="1"/>
  <c r="P127" i="19"/>
  <c r="M125" i="19"/>
  <c r="P125" i="19" s="1"/>
  <c r="P32" i="20"/>
  <c r="M29" i="20"/>
  <c r="O89" i="20"/>
  <c r="L135" i="20"/>
  <c r="O135" i="20" s="1"/>
  <c r="L155" i="20"/>
  <c r="O155" i="20" s="1"/>
  <c r="P186" i="20"/>
  <c r="M183" i="20"/>
  <c r="I208" i="20"/>
  <c r="K208" i="20" s="1"/>
  <c r="K215" i="20"/>
  <c r="M301" i="20"/>
  <c r="P301" i="20" s="1"/>
  <c r="M300" i="20"/>
  <c r="P300" i="20" s="1"/>
  <c r="P303" i="20"/>
  <c r="L36" i="19"/>
  <c r="O36" i="19" s="1"/>
  <c r="P25" i="20"/>
  <c r="M15" i="20"/>
  <c r="M184" i="20"/>
  <c r="P184" i="20" s="1"/>
  <c r="M43" i="18"/>
  <c r="M41" i="18" s="1"/>
  <c r="O266" i="19"/>
  <c r="P269" i="19"/>
  <c r="M267" i="19"/>
  <c r="P267" i="19" s="1"/>
  <c r="M12" i="20"/>
  <c r="P299" i="20"/>
  <c r="L135" i="18"/>
  <c r="O135" i="18" s="1"/>
  <c r="I77" i="19"/>
  <c r="K77" i="19" s="1"/>
  <c r="L125" i="19"/>
  <c r="O125" i="19" s="1"/>
  <c r="N121" i="19"/>
  <c r="N119" i="19" s="1"/>
  <c r="K338" i="19"/>
  <c r="K379" i="19"/>
  <c r="L408" i="19"/>
  <c r="O408" i="19" s="1"/>
  <c r="I433" i="19"/>
  <c r="I417" i="19" s="1"/>
  <c r="N12" i="20"/>
  <c r="L23" i="20"/>
  <c r="L183" i="20"/>
  <c r="P262" i="20"/>
  <c r="O266" i="20"/>
  <c r="P269" i="20"/>
  <c r="M424" i="20"/>
  <c r="L422" i="20"/>
  <c r="O422" i="20" s="1"/>
  <c r="L421" i="20"/>
  <c r="O424" i="20"/>
  <c r="P739" i="20"/>
  <c r="M737" i="20"/>
  <c r="P737" i="20" s="1"/>
  <c r="L301" i="18"/>
  <c r="O301" i="18" s="1"/>
  <c r="M392" i="18"/>
  <c r="P392" i="18" s="1"/>
  <c r="L171" i="19"/>
  <c r="O171" i="19" s="1"/>
  <c r="L217" i="19"/>
  <c r="O217" i="19" s="1"/>
  <c r="L318" i="19"/>
  <c r="O318" i="19" s="1"/>
  <c r="K369" i="19"/>
  <c r="K725" i="19"/>
  <c r="K204" i="20"/>
  <c r="I197" i="20"/>
  <c r="K197" i="20" s="1"/>
  <c r="K225" i="20"/>
  <c r="M444" i="20"/>
  <c r="P444" i="20" s="1"/>
  <c r="P445" i="20"/>
  <c r="N280" i="19"/>
  <c r="L26" i="20"/>
  <c r="L90" i="20"/>
  <c r="N134" i="20"/>
  <c r="N132" i="20" s="1"/>
  <c r="N151" i="20"/>
  <c r="N149" i="20" s="1"/>
  <c r="L167" i="20"/>
  <c r="L198" i="20"/>
  <c r="O198" i="20" s="1"/>
  <c r="L229" i="20"/>
  <c r="I248" i="20"/>
  <c r="K248" i="20" s="1"/>
  <c r="P266" i="20"/>
  <c r="N279" i="20"/>
  <c r="N277" i="20" s="1"/>
  <c r="K309" i="20"/>
  <c r="I297" i="20"/>
  <c r="K297" i="20" s="1"/>
  <c r="N334" i="20"/>
  <c r="N330" i="20"/>
  <c r="N328" i="20" s="1"/>
  <c r="P350" i="20"/>
  <c r="M348" i="20"/>
  <c r="M347" i="20"/>
  <c r="P333" i="19"/>
  <c r="L12" i="20"/>
  <c r="L19" i="20"/>
  <c r="N56" i="20"/>
  <c r="P56" i="20" s="1"/>
  <c r="P58" i="20"/>
  <c r="O93" i="20"/>
  <c r="O170" i="20"/>
  <c r="M263" i="20"/>
  <c r="I276" i="20"/>
  <c r="K276" i="20" s="1"/>
  <c r="L331" i="20"/>
  <c r="O331" i="20" s="1"/>
  <c r="L330" i="20"/>
  <c r="L347" i="20"/>
  <c r="M404" i="20"/>
  <c r="P404" i="20" s="1"/>
  <c r="K435" i="20"/>
  <c r="J433" i="20"/>
  <c r="J417" i="20" s="1"/>
  <c r="P504" i="20"/>
  <c r="M502" i="20"/>
  <c r="P502" i="20" s="1"/>
  <c r="P631" i="20"/>
  <c r="M629" i="20"/>
  <c r="P629" i="20" s="1"/>
  <c r="O738" i="20"/>
  <c r="L737" i="20"/>
  <c r="O737" i="20" s="1"/>
  <c r="L805" i="20"/>
  <c r="O805" i="20" s="1"/>
  <c r="N807" i="20"/>
  <c r="N805" i="20" s="1"/>
  <c r="N414" i="20" s="1"/>
  <c r="N808" i="20"/>
  <c r="K340" i="20"/>
  <c r="O431" i="20"/>
  <c r="L429" i="20"/>
  <c r="O429" i="20" s="1"/>
  <c r="O503" i="20"/>
  <c r="L502" i="20"/>
  <c r="O502" i="20" s="1"/>
  <c r="P549" i="20"/>
  <c r="M546" i="20"/>
  <c r="P546" i="20" s="1"/>
  <c r="M547" i="20"/>
  <c r="O630" i="20"/>
  <c r="O658" i="20"/>
  <c r="O686" i="20"/>
  <c r="L685" i="20"/>
  <c r="O685" i="20" s="1"/>
  <c r="O687" i="20"/>
  <c r="O755" i="20"/>
  <c r="L754" i="20"/>
  <c r="O754" i="20" s="1"/>
  <c r="N786" i="20"/>
  <c r="I364" i="20"/>
  <c r="K364" i="20" s="1"/>
  <c r="K365" i="20"/>
  <c r="P469" i="20"/>
  <c r="M467" i="20"/>
  <c r="P467" i="20" s="1"/>
  <c r="O771" i="20"/>
  <c r="L770" i="20"/>
  <c r="O770" i="20" s="1"/>
  <c r="L391" i="20"/>
  <c r="I417" i="20"/>
  <c r="O468" i="20"/>
  <c r="I314" i="20"/>
  <c r="K314" i="20" s="1"/>
  <c r="P410" i="20"/>
  <c r="I592" i="20"/>
  <c r="K592" i="20" s="1"/>
  <c r="K593" i="20"/>
  <c r="O524" i="20"/>
  <c r="K537" i="20"/>
  <c r="O407" i="20"/>
  <c r="O410" i="20"/>
  <c r="L454" i="20"/>
  <c r="O454" i="20" s="1"/>
  <c r="L526" i="20"/>
  <c r="O526" i="20" s="1"/>
  <c r="N547" i="20"/>
  <c r="N658" i="20"/>
  <c r="K675" i="20"/>
  <c r="L446" i="20"/>
  <c r="O660" i="20"/>
  <c r="K672" i="20"/>
  <c r="L688" i="20"/>
  <c r="O688" i="20" s="1"/>
  <c r="M690" i="20"/>
  <c r="N655" i="20"/>
  <c r="K669" i="20"/>
  <c r="K355" i="19"/>
  <c r="M68" i="18"/>
  <c r="M66" i="18" s="1"/>
  <c r="K355" i="18"/>
  <c r="J143" i="19"/>
  <c r="J131" i="19" s="1"/>
  <c r="K360" i="19"/>
  <c r="L446" i="19"/>
  <c r="O446" i="19" s="1"/>
  <c r="O472" i="19"/>
  <c r="L533" i="19"/>
  <c r="O533" i="19" s="1"/>
  <c r="L631" i="19"/>
  <c r="L629" i="19" s="1"/>
  <c r="L639" i="19"/>
  <c r="O639" i="19" s="1"/>
  <c r="K821" i="19"/>
  <c r="K824" i="19"/>
  <c r="K827" i="19"/>
  <c r="N68" i="18"/>
  <c r="N66" i="18" s="1"/>
  <c r="O353" i="18"/>
  <c r="O549" i="18"/>
  <c r="O56" i="19"/>
  <c r="L90" i="19"/>
  <c r="L88" i="19" s="1"/>
  <c r="L122" i="19"/>
  <c r="O122" i="19" s="1"/>
  <c r="J327" i="19"/>
  <c r="K327" i="19" s="1"/>
  <c r="M55" i="19"/>
  <c r="M53" i="19" s="1"/>
  <c r="N330" i="19"/>
  <c r="N328" i="19" s="1"/>
  <c r="L454" i="19"/>
  <c r="O454" i="19" s="1"/>
  <c r="I522" i="19"/>
  <c r="K522" i="19" s="1"/>
  <c r="K649" i="19"/>
  <c r="L657" i="19"/>
  <c r="L655" i="19" s="1"/>
  <c r="O655" i="19" s="1"/>
  <c r="K674" i="19"/>
  <c r="K701" i="19"/>
  <c r="K288" i="19"/>
  <c r="M304" i="19"/>
  <c r="P304" i="19" s="1"/>
  <c r="M334" i="19"/>
  <c r="P334" i="19" s="1"/>
  <c r="K647" i="19"/>
  <c r="I654" i="19"/>
  <c r="K654" i="19" s="1"/>
  <c r="O449" i="18"/>
  <c r="N125" i="19"/>
  <c r="L263" i="19"/>
  <c r="P350" i="19"/>
  <c r="K359" i="19"/>
  <c r="K381" i="19"/>
  <c r="N318" i="19"/>
  <c r="N317" i="19"/>
  <c r="N315" i="19" s="1"/>
  <c r="O407" i="19"/>
  <c r="L405" i="19"/>
  <c r="O405" i="19" s="1"/>
  <c r="J288" i="17"/>
  <c r="K288" i="17" s="1"/>
  <c r="K78" i="18"/>
  <c r="O397" i="18"/>
  <c r="I443" i="18"/>
  <c r="K443" i="18" s="1"/>
  <c r="L446" i="18"/>
  <c r="L444" i="18" s="1"/>
  <c r="O444" i="18" s="1"/>
  <c r="N43" i="19"/>
  <c r="N41" i="19" s="1"/>
  <c r="L47" i="19"/>
  <c r="O47" i="19" s="1"/>
  <c r="I112" i="19"/>
  <c r="K112" i="19" s="1"/>
  <c r="M122" i="19"/>
  <c r="P122" i="19" s="1"/>
  <c r="N134" i="19"/>
  <c r="N132" i="19" s="1"/>
  <c r="O140" i="19"/>
  <c r="P154" i="19"/>
  <c r="L183" i="19"/>
  <c r="P186" i="19"/>
  <c r="L209" i="19"/>
  <c r="O209" i="19" s="1"/>
  <c r="I216" i="19"/>
  <c r="K216" i="19" s="1"/>
  <c r="L249" i="19"/>
  <c r="O249" i="19" s="1"/>
  <c r="L264" i="19"/>
  <c r="O269" i="19"/>
  <c r="L267" i="19"/>
  <c r="O267" i="19" s="1"/>
  <c r="I297" i="19"/>
  <c r="K297" i="19" s="1"/>
  <c r="P303" i="19"/>
  <c r="M300" i="19"/>
  <c r="M298" i="19" s="1"/>
  <c r="N404" i="19"/>
  <c r="N402" i="19" s="1"/>
  <c r="M405" i="19"/>
  <c r="P405" i="19" s="1"/>
  <c r="M404" i="19"/>
  <c r="P404" i="19" s="1"/>
  <c r="L421" i="19"/>
  <c r="O421" i="19" s="1"/>
  <c r="M72" i="18"/>
  <c r="P72" i="18" s="1"/>
  <c r="I77" i="18"/>
  <c r="I65" i="18" s="1"/>
  <c r="K65" i="18" s="1"/>
  <c r="I148" i="18"/>
  <c r="K148" i="18" s="1"/>
  <c r="L231" i="18"/>
  <c r="L155" i="19"/>
  <c r="O155" i="19" s="1"/>
  <c r="L187" i="19"/>
  <c r="O187" i="19" s="1"/>
  <c r="M408" i="19"/>
  <c r="P408" i="19" s="1"/>
  <c r="P410" i="19"/>
  <c r="K826" i="17"/>
  <c r="K215" i="18"/>
  <c r="P350" i="18"/>
  <c r="K378" i="18"/>
  <c r="K381" i="18"/>
  <c r="L391" i="18"/>
  <c r="O391" i="18" s="1"/>
  <c r="I785" i="18"/>
  <c r="L55" i="19"/>
  <c r="L53" i="19" s="1"/>
  <c r="I76" i="19"/>
  <c r="I64" i="19" s="1"/>
  <c r="K64" i="19" s="1"/>
  <c r="L121" i="19"/>
  <c r="O121" i="19" s="1"/>
  <c r="O137" i="19"/>
  <c r="P301" i="19"/>
  <c r="L304" i="19"/>
  <c r="O304" i="19" s="1"/>
  <c r="M330" i="19"/>
  <c r="J364" i="19"/>
  <c r="L447" i="19"/>
  <c r="O447" i="19" s="1"/>
  <c r="L687" i="19"/>
  <c r="O687" i="19" s="1"/>
  <c r="O690" i="19"/>
  <c r="L43" i="18"/>
  <c r="L41" i="18" s="1"/>
  <c r="M122" i="18"/>
  <c r="P122" i="18" s="1"/>
  <c r="I143" i="18"/>
  <c r="I131" i="18" s="1"/>
  <c r="K131" i="18" s="1"/>
  <c r="K204" i="18"/>
  <c r="M264" i="18"/>
  <c r="P264" i="18" s="1"/>
  <c r="L44" i="19"/>
  <c r="O44" i="19" s="1"/>
  <c r="P44" i="19"/>
  <c r="M121" i="19"/>
  <c r="M119" i="19" s="1"/>
  <c r="P119" i="19" s="1"/>
  <c r="M167" i="19"/>
  <c r="M165" i="19" s="1"/>
  <c r="I190" i="19"/>
  <c r="K190" i="19" s="1"/>
  <c r="I260" i="19"/>
  <c r="K260" i="19" s="1"/>
  <c r="K271" i="19"/>
  <c r="N347" i="19"/>
  <c r="N345" i="19" s="1"/>
  <c r="L33" i="19"/>
  <c r="M549" i="19"/>
  <c r="M546" i="19" s="1"/>
  <c r="P546" i="19" s="1"/>
  <c r="K594" i="19"/>
  <c r="K649" i="17"/>
  <c r="P58" i="18"/>
  <c r="J143" i="18"/>
  <c r="J131" i="18" s="1"/>
  <c r="I314" i="18"/>
  <c r="K314" i="18" s="1"/>
  <c r="I442" i="18"/>
  <c r="K442" i="18" s="1"/>
  <c r="K824" i="18"/>
  <c r="L43" i="19"/>
  <c r="N26" i="19"/>
  <c r="L134" i="19"/>
  <c r="O134" i="19" s="1"/>
  <c r="I314" i="19"/>
  <c r="K314" i="19" s="1"/>
  <c r="P320" i="19"/>
  <c r="M318" i="19"/>
  <c r="P318" i="19" s="1"/>
  <c r="N334" i="19"/>
  <c r="O336" i="19"/>
  <c r="M348" i="19"/>
  <c r="P348" i="19" s="1"/>
  <c r="K378" i="19"/>
  <c r="J722" i="19"/>
  <c r="K722" i="19" s="1"/>
  <c r="L300" i="19"/>
  <c r="L298" i="19" s="1"/>
  <c r="K823" i="19"/>
  <c r="K826" i="19"/>
  <c r="O303" i="19"/>
  <c r="K340" i="19"/>
  <c r="K466" i="19"/>
  <c r="L469" i="19"/>
  <c r="O469" i="19" s="1"/>
  <c r="L632" i="19"/>
  <c r="O632" i="19" s="1"/>
  <c r="K720" i="19"/>
  <c r="K822" i="19"/>
  <c r="K825" i="19"/>
  <c r="K828" i="19"/>
  <c r="O29" i="19"/>
  <c r="M347" i="18"/>
  <c r="M345" i="18" s="1"/>
  <c r="O15" i="19"/>
  <c r="P54" i="19"/>
  <c r="O133" i="19"/>
  <c r="O154" i="19"/>
  <c r="L151" i="19"/>
  <c r="P316" i="19"/>
  <c r="P353" i="19"/>
  <c r="M347" i="19"/>
  <c r="M351" i="19"/>
  <c r="P351" i="19" s="1"/>
  <c r="N151" i="16"/>
  <c r="N149" i="16" s="1"/>
  <c r="M121" i="17"/>
  <c r="P121" i="17" s="1"/>
  <c r="N43" i="18"/>
  <c r="M90" i="18"/>
  <c r="M301" i="18"/>
  <c r="P301" i="18" s="1"/>
  <c r="L317" i="18"/>
  <c r="O89" i="19"/>
  <c r="M91" i="19"/>
  <c r="P91" i="19" s="1"/>
  <c r="P93" i="19"/>
  <c r="P133" i="19"/>
  <c r="K146" i="19"/>
  <c r="K204" i="19"/>
  <c r="L317" i="19"/>
  <c r="O323" i="19"/>
  <c r="J592" i="19"/>
  <c r="K592" i="19" s="1"/>
  <c r="K593" i="19"/>
  <c r="L546" i="16"/>
  <c r="O546" i="16" s="1"/>
  <c r="N90" i="18"/>
  <c r="N88" i="18" s="1"/>
  <c r="M94" i="18"/>
  <c r="P94" i="18" s="1"/>
  <c r="N280" i="18"/>
  <c r="P280" i="18" s="1"/>
  <c r="L283" i="18"/>
  <c r="O283" i="18" s="1"/>
  <c r="P303" i="18"/>
  <c r="M317" i="18"/>
  <c r="M315" i="18" s="1"/>
  <c r="L330" i="18"/>
  <c r="L328" i="18" s="1"/>
  <c r="N330" i="18"/>
  <c r="N328" i="18" s="1"/>
  <c r="M348" i="18"/>
  <c r="K360" i="18"/>
  <c r="K827" i="18"/>
  <c r="O93" i="19"/>
  <c r="N90" i="19"/>
  <c r="O120" i="19"/>
  <c r="I164" i="19"/>
  <c r="K164" i="19" s="1"/>
  <c r="L280" i="19"/>
  <c r="O280" i="19" s="1"/>
  <c r="O282" i="19"/>
  <c r="L279" i="19"/>
  <c r="L321" i="19"/>
  <c r="O321" i="19" s="1"/>
  <c r="L134" i="17"/>
  <c r="O134" i="17" s="1"/>
  <c r="L230" i="17"/>
  <c r="M330" i="17"/>
  <c r="M328" i="17" s="1"/>
  <c r="K701" i="17"/>
  <c r="M167" i="18"/>
  <c r="M165" i="18" s="1"/>
  <c r="L183" i="18"/>
  <c r="L181" i="18" s="1"/>
  <c r="L238" i="18"/>
  <c r="O238" i="18" s="1"/>
  <c r="M283" i="18"/>
  <c r="P283" i="18" s="1"/>
  <c r="L304" i="18"/>
  <c r="O304" i="18" s="1"/>
  <c r="N317" i="18"/>
  <c r="N315" i="18" s="1"/>
  <c r="P333" i="18"/>
  <c r="K370" i="18"/>
  <c r="M549" i="18"/>
  <c r="P549" i="18" s="1"/>
  <c r="K649" i="18"/>
  <c r="L23" i="19"/>
  <c r="L21" i="19" s="1"/>
  <c r="K99" i="19"/>
  <c r="I233" i="19"/>
  <c r="K233" i="19" s="1"/>
  <c r="I248" i="19"/>
  <c r="O346" i="19"/>
  <c r="M171" i="18"/>
  <c r="P171" i="18" s="1"/>
  <c r="O394" i="18"/>
  <c r="M23" i="19"/>
  <c r="M21" i="19" s="1"/>
  <c r="O35" i="19"/>
  <c r="N55" i="19"/>
  <c r="M56" i="19"/>
  <c r="P56" i="19" s="1"/>
  <c r="P58" i="19"/>
  <c r="O166" i="19"/>
  <c r="M168" i="19"/>
  <c r="P168" i="19" s="1"/>
  <c r="P170" i="19"/>
  <c r="M187" i="19"/>
  <c r="P187" i="19" s="1"/>
  <c r="P189" i="19"/>
  <c r="P278" i="19"/>
  <c r="L395" i="19"/>
  <c r="O395" i="19" s="1"/>
  <c r="O397" i="19"/>
  <c r="K708" i="10"/>
  <c r="K729" i="10"/>
  <c r="L321" i="17"/>
  <c r="O321" i="17" s="1"/>
  <c r="M151" i="18"/>
  <c r="P151" i="18" s="1"/>
  <c r="L300" i="18"/>
  <c r="K340" i="18"/>
  <c r="K359" i="18"/>
  <c r="K385" i="18"/>
  <c r="O22" i="19"/>
  <c r="L19" i="19"/>
  <c r="L12" i="19"/>
  <c r="M34" i="19"/>
  <c r="P34" i="19" s="1"/>
  <c r="L26" i="19"/>
  <c r="N23" i="19"/>
  <c r="M59" i="19"/>
  <c r="P59" i="19" s="1"/>
  <c r="M26" i="19"/>
  <c r="P61" i="19"/>
  <c r="M69" i="19"/>
  <c r="P69" i="19" s="1"/>
  <c r="P71" i="19"/>
  <c r="K80" i="19"/>
  <c r="K83" i="19"/>
  <c r="I87" i="19"/>
  <c r="K87" i="19" s="1"/>
  <c r="M155" i="19"/>
  <c r="P155" i="19" s="1"/>
  <c r="O170" i="19"/>
  <c r="N167" i="19"/>
  <c r="K176" i="19"/>
  <c r="K215" i="19"/>
  <c r="I208" i="19"/>
  <c r="K208" i="19" s="1"/>
  <c r="L228" i="19"/>
  <c r="L238" i="19"/>
  <c r="P262" i="19"/>
  <c r="M279" i="19"/>
  <c r="P279" i="19" s="1"/>
  <c r="P285" i="19"/>
  <c r="L391" i="19"/>
  <c r="O391" i="19" s="1"/>
  <c r="M15" i="19"/>
  <c r="M29" i="19"/>
  <c r="O58" i="19"/>
  <c r="O61" i="19"/>
  <c r="O71" i="19"/>
  <c r="P74" i="19"/>
  <c r="P96" i="19"/>
  <c r="P173" i="19"/>
  <c r="L230" i="19"/>
  <c r="O285" i="19"/>
  <c r="N300" i="19"/>
  <c r="N298" i="19" s="1"/>
  <c r="P394" i="19"/>
  <c r="M391" i="19"/>
  <c r="P397" i="19"/>
  <c r="M395" i="19"/>
  <c r="P395" i="19" s="1"/>
  <c r="O787" i="19"/>
  <c r="L786" i="19"/>
  <c r="O786" i="19" s="1"/>
  <c r="M183" i="19"/>
  <c r="L231" i="19"/>
  <c r="P266" i="19"/>
  <c r="M331" i="19"/>
  <c r="P331" i="19" s="1"/>
  <c r="M392" i="19"/>
  <c r="P392" i="19" s="1"/>
  <c r="J537" i="19"/>
  <c r="J522" i="19" s="1"/>
  <c r="K538" i="19"/>
  <c r="I559" i="19"/>
  <c r="K576" i="19"/>
  <c r="O390" i="19"/>
  <c r="L547" i="19"/>
  <c r="O547" i="19" s="1"/>
  <c r="O549" i="19"/>
  <c r="L546" i="19"/>
  <c r="O546" i="19" s="1"/>
  <c r="K145" i="19"/>
  <c r="I143" i="19"/>
  <c r="L348" i="19"/>
  <c r="O348" i="19" s="1"/>
  <c r="O350" i="19"/>
  <c r="K438" i="19"/>
  <c r="I434" i="19"/>
  <c r="L555" i="19"/>
  <c r="O555" i="19" s="1"/>
  <c r="O557" i="19"/>
  <c r="P686" i="19"/>
  <c r="O755" i="19"/>
  <c r="L754" i="19"/>
  <c r="O754" i="19" s="1"/>
  <c r="P755" i="19"/>
  <c r="M754" i="19"/>
  <c r="P754" i="19" s="1"/>
  <c r="L330" i="19"/>
  <c r="O333" i="19"/>
  <c r="L351" i="19"/>
  <c r="O351" i="19" s="1"/>
  <c r="O353" i="19"/>
  <c r="I443" i="19"/>
  <c r="K443" i="19" s="1"/>
  <c r="M469" i="19"/>
  <c r="M470" i="19"/>
  <c r="P470" i="19" s="1"/>
  <c r="M631" i="19"/>
  <c r="P631" i="19" s="1"/>
  <c r="M632" i="19"/>
  <c r="P632" i="19" s="1"/>
  <c r="P634" i="19"/>
  <c r="L737" i="19"/>
  <c r="O737" i="19" s="1"/>
  <c r="L770" i="19"/>
  <c r="O770" i="19" s="1"/>
  <c r="P807" i="19"/>
  <c r="M805" i="19"/>
  <c r="P805" i="19" s="1"/>
  <c r="M421" i="19"/>
  <c r="L422" i="19"/>
  <c r="O422" i="19" s="1"/>
  <c r="O424" i="19"/>
  <c r="N502" i="19"/>
  <c r="N414" i="19" s="1"/>
  <c r="O535" i="19"/>
  <c r="L525" i="19"/>
  <c r="O525" i="19" s="1"/>
  <c r="P555" i="19"/>
  <c r="M545" i="19"/>
  <c r="K723" i="19"/>
  <c r="I785" i="19"/>
  <c r="K785" i="19" s="1"/>
  <c r="K800" i="19"/>
  <c r="O449" i="19"/>
  <c r="M449" i="19"/>
  <c r="O545" i="19"/>
  <c r="O634" i="19"/>
  <c r="K651" i="19"/>
  <c r="I628" i="19"/>
  <c r="K628" i="19" s="1"/>
  <c r="O660" i="19"/>
  <c r="M660" i="19"/>
  <c r="P738" i="19"/>
  <c r="M737" i="19"/>
  <c r="P737" i="19" s="1"/>
  <c r="P771" i="19"/>
  <c r="M770" i="19"/>
  <c r="P770" i="19" s="1"/>
  <c r="L789" i="19"/>
  <c r="O789" i="19" s="1"/>
  <c r="O791" i="19"/>
  <c r="O806" i="19"/>
  <c r="L805" i="19"/>
  <c r="O805" i="19" s="1"/>
  <c r="O329" i="19"/>
  <c r="O331" i="19"/>
  <c r="K362" i="19"/>
  <c r="L392" i="19"/>
  <c r="O392" i="19" s="1"/>
  <c r="O394" i="19"/>
  <c r="O420" i="19"/>
  <c r="M422" i="19"/>
  <c r="P422" i="19" s="1"/>
  <c r="O431" i="19"/>
  <c r="N629" i="19"/>
  <c r="P788" i="19"/>
  <c r="M786" i="19"/>
  <c r="P786" i="19" s="1"/>
  <c r="L470" i="19"/>
  <c r="O470" i="19" s="1"/>
  <c r="L477" i="19"/>
  <c r="O477" i="19" s="1"/>
  <c r="K675" i="19"/>
  <c r="J433" i="19"/>
  <c r="J417" i="19" s="1"/>
  <c r="K672" i="19"/>
  <c r="L688" i="19"/>
  <c r="O688" i="19" s="1"/>
  <c r="M690" i="19"/>
  <c r="K669" i="19"/>
  <c r="M23" i="18"/>
  <c r="M21" i="18" s="1"/>
  <c r="M26" i="18"/>
  <c r="M24" i="18" s="1"/>
  <c r="M183" i="18"/>
  <c r="M181" i="18" s="1"/>
  <c r="P266" i="18"/>
  <c r="N334" i="18"/>
  <c r="M351" i="18"/>
  <c r="L470" i="18"/>
  <c r="O470" i="18" s="1"/>
  <c r="M472" i="18"/>
  <c r="M469" i="18" s="1"/>
  <c r="P469" i="18" s="1"/>
  <c r="L454" i="4"/>
  <c r="O454" i="4" s="1"/>
  <c r="I276" i="16"/>
  <c r="K276" i="16" s="1"/>
  <c r="P127" i="17"/>
  <c r="L231" i="17"/>
  <c r="L36" i="17"/>
  <c r="O36" i="17" s="1"/>
  <c r="O58" i="18"/>
  <c r="L94" i="18"/>
  <c r="O94" i="18" s="1"/>
  <c r="M152" i="18"/>
  <c r="P152" i="18" s="1"/>
  <c r="M187" i="18"/>
  <c r="P187" i="18" s="1"/>
  <c r="L279" i="18"/>
  <c r="K338" i="18"/>
  <c r="N351" i="18"/>
  <c r="O351" i="18" s="1"/>
  <c r="K435" i="18"/>
  <c r="O456" i="18"/>
  <c r="O557" i="18"/>
  <c r="M304" i="17"/>
  <c r="P304" i="17" s="1"/>
  <c r="M331" i="17"/>
  <c r="P331" i="17" s="1"/>
  <c r="P333" i="17"/>
  <c r="I522" i="17"/>
  <c r="K522" i="17" s="1"/>
  <c r="M44" i="18"/>
  <c r="P44" i="18" s="1"/>
  <c r="M47" i="18"/>
  <c r="P47" i="18" s="1"/>
  <c r="P49" i="18"/>
  <c r="O124" i="18"/>
  <c r="M155" i="18"/>
  <c r="P155" i="18" s="1"/>
  <c r="M279" i="18"/>
  <c r="M277" i="18" s="1"/>
  <c r="M321" i="18"/>
  <c r="P321" i="18" s="1"/>
  <c r="L405" i="18"/>
  <c r="O405" i="18" s="1"/>
  <c r="N404" i="18"/>
  <c r="N402" i="18" s="1"/>
  <c r="I260" i="17"/>
  <c r="K260" i="17" s="1"/>
  <c r="I216" i="18"/>
  <c r="K216" i="18" s="1"/>
  <c r="N300" i="18"/>
  <c r="N298" i="18" s="1"/>
  <c r="P331" i="18"/>
  <c r="N391" i="18"/>
  <c r="N389" i="18" s="1"/>
  <c r="L408" i="18"/>
  <c r="O408" i="18" s="1"/>
  <c r="K385" i="17"/>
  <c r="L55" i="18"/>
  <c r="L53" i="18" s="1"/>
  <c r="L90" i="18"/>
  <c r="L88" i="18" s="1"/>
  <c r="L151" i="18"/>
  <c r="O151" i="18" s="1"/>
  <c r="L198" i="18"/>
  <c r="O198" i="18" s="1"/>
  <c r="K594" i="18"/>
  <c r="K822" i="18"/>
  <c r="K576" i="18"/>
  <c r="I559" i="18"/>
  <c r="I543" i="18" s="1"/>
  <c r="K543" i="18" s="1"/>
  <c r="M660" i="18"/>
  <c r="M658" i="18" s="1"/>
  <c r="P658" i="18" s="1"/>
  <c r="L657" i="18"/>
  <c r="L655" i="18" s="1"/>
  <c r="N300" i="16"/>
  <c r="N298" i="16" s="1"/>
  <c r="L391" i="17"/>
  <c r="O391" i="17" s="1"/>
  <c r="K561" i="17"/>
  <c r="K620" i="17"/>
  <c r="L36" i="18"/>
  <c r="O59" i="18"/>
  <c r="O61" i="18"/>
  <c r="K144" i="18"/>
  <c r="K193" i="18"/>
  <c r="L263" i="18"/>
  <c r="L267" i="18"/>
  <c r="O267" i="18" s="1"/>
  <c r="O282" i="18"/>
  <c r="M304" i="18"/>
  <c r="P304" i="18" s="1"/>
  <c r="P318" i="18"/>
  <c r="N408" i="18"/>
  <c r="L429" i="18"/>
  <c r="O429" i="18" s="1"/>
  <c r="O431" i="18"/>
  <c r="L477" i="18"/>
  <c r="O477" i="18" s="1"/>
  <c r="L300" i="15"/>
  <c r="L298" i="15" s="1"/>
  <c r="N301" i="16"/>
  <c r="L47" i="17"/>
  <c r="O47" i="17" s="1"/>
  <c r="N263" i="17"/>
  <c r="N261" i="17" s="1"/>
  <c r="L23" i="18"/>
  <c r="L21" i="18" s="1"/>
  <c r="K79" i="18"/>
  <c r="P91" i="18"/>
  <c r="K100" i="18"/>
  <c r="M121" i="18"/>
  <c r="M119" i="18" s="1"/>
  <c r="I130" i="18"/>
  <c r="K130" i="18" s="1"/>
  <c r="L138" i="18"/>
  <c r="O138" i="18" s="1"/>
  <c r="K255" i="18"/>
  <c r="M267" i="18"/>
  <c r="P267" i="18" s="1"/>
  <c r="O336" i="18"/>
  <c r="K362" i="18"/>
  <c r="K374" i="18"/>
  <c r="K379" i="18"/>
  <c r="M55" i="17"/>
  <c r="M53" i="17" s="1"/>
  <c r="K99" i="17"/>
  <c r="L125" i="17"/>
  <c r="O125" i="17" s="1"/>
  <c r="I174" i="17"/>
  <c r="I164" i="17" s="1"/>
  <c r="K164" i="17" s="1"/>
  <c r="P184" i="17"/>
  <c r="I216" i="17"/>
  <c r="K216" i="17" s="1"/>
  <c r="P350" i="17"/>
  <c r="K369" i="17"/>
  <c r="M55" i="18"/>
  <c r="I87" i="18"/>
  <c r="K87" i="18" s="1"/>
  <c r="L91" i="18"/>
  <c r="O91" i="18" s="1"/>
  <c r="L209" i="18"/>
  <c r="O209" i="18" s="1"/>
  <c r="N263" i="18"/>
  <c r="N261" i="18" s="1"/>
  <c r="O266" i="18"/>
  <c r="O331" i="18"/>
  <c r="N347" i="18"/>
  <c r="N345" i="18" s="1"/>
  <c r="K369" i="18"/>
  <c r="L404" i="18"/>
  <c r="O404" i="18" s="1"/>
  <c r="J433" i="18"/>
  <c r="J417" i="18" s="1"/>
  <c r="M528" i="18"/>
  <c r="M525" i="18" s="1"/>
  <c r="L525" i="18"/>
  <c r="L523" i="18" s="1"/>
  <c r="O528" i="18"/>
  <c r="K651" i="18"/>
  <c r="I628" i="18"/>
  <c r="K628" i="18" s="1"/>
  <c r="M391" i="17"/>
  <c r="P391" i="17" s="1"/>
  <c r="L33" i="18"/>
  <c r="L26" i="18"/>
  <c r="L24" i="18" s="1"/>
  <c r="N55" i="18"/>
  <c r="O93" i="18"/>
  <c r="L134" i="18"/>
  <c r="O134" i="18" s="1"/>
  <c r="L167" i="18"/>
  <c r="L165" i="18" s="1"/>
  <c r="L422" i="18"/>
  <c r="O422" i="18" s="1"/>
  <c r="O424" i="18"/>
  <c r="L421" i="18"/>
  <c r="O421" i="18" s="1"/>
  <c r="M791" i="18"/>
  <c r="L788" i="18"/>
  <c r="L786" i="18" s="1"/>
  <c r="O786" i="18" s="1"/>
  <c r="L789" i="18"/>
  <c r="J785" i="18"/>
  <c r="K801" i="18"/>
  <c r="L300" i="16"/>
  <c r="L298" i="16" s="1"/>
  <c r="L43" i="17"/>
  <c r="L41" i="17" s="1"/>
  <c r="O184" i="17"/>
  <c r="I297" i="17"/>
  <c r="K297" i="17" s="1"/>
  <c r="N330" i="17"/>
  <c r="N328" i="17" s="1"/>
  <c r="K560" i="17"/>
  <c r="K569" i="17"/>
  <c r="P61" i="18"/>
  <c r="L217" i="18"/>
  <c r="O217" i="18" s="1"/>
  <c r="I260" i="18"/>
  <c r="K260" i="18" s="1"/>
  <c r="O264" i="18"/>
  <c r="I275" i="18"/>
  <c r="P282" i="18"/>
  <c r="J327" i="18"/>
  <c r="K327" i="18" s="1"/>
  <c r="P353" i="18"/>
  <c r="M424" i="18"/>
  <c r="O791" i="18"/>
  <c r="K592" i="18"/>
  <c r="K593" i="18"/>
  <c r="K821" i="18"/>
  <c r="J721" i="18"/>
  <c r="L469" i="18"/>
  <c r="L467" i="18" s="1"/>
  <c r="O467" i="18" s="1"/>
  <c r="L546" i="18"/>
  <c r="O546" i="18" s="1"/>
  <c r="O69" i="18"/>
  <c r="N9" i="18"/>
  <c r="O44" i="18"/>
  <c r="O56" i="18"/>
  <c r="P69" i="18"/>
  <c r="P150" i="18"/>
  <c r="I417" i="18"/>
  <c r="L263" i="14"/>
  <c r="L261" i="14" s="1"/>
  <c r="L330" i="14"/>
  <c r="L328" i="14" s="1"/>
  <c r="P44" i="16"/>
  <c r="N68" i="16"/>
  <c r="N66" i="16" s="1"/>
  <c r="P280" i="16"/>
  <c r="O479" i="16"/>
  <c r="M43" i="17"/>
  <c r="M41" i="17" s="1"/>
  <c r="M122" i="17"/>
  <c r="P122" i="17" s="1"/>
  <c r="N152" i="17"/>
  <c r="P152" i="17" s="1"/>
  <c r="L155" i="17"/>
  <c r="O155" i="17" s="1"/>
  <c r="L183" i="17"/>
  <c r="L181" i="17" s="1"/>
  <c r="L217" i="17"/>
  <c r="O217" i="17" s="1"/>
  <c r="M321" i="17"/>
  <c r="P321" i="17" s="1"/>
  <c r="M334" i="17"/>
  <c r="P334" i="17" s="1"/>
  <c r="K379" i="17"/>
  <c r="M392" i="17"/>
  <c r="P392" i="17" s="1"/>
  <c r="M395" i="17"/>
  <c r="P395" i="17" s="1"/>
  <c r="K823" i="17"/>
  <c r="M12" i="18"/>
  <c r="P15" i="18"/>
  <c r="M19" i="18"/>
  <c r="P22" i="18"/>
  <c r="N26" i="18"/>
  <c r="N16" i="18" s="1"/>
  <c r="N14" i="18" s="1"/>
  <c r="P29" i="18"/>
  <c r="P35" i="18"/>
  <c r="O46" i="18"/>
  <c r="O49" i="18"/>
  <c r="M56" i="18"/>
  <c r="P56" i="18" s="1"/>
  <c r="M59" i="18"/>
  <c r="P59" i="18" s="1"/>
  <c r="O71" i="18"/>
  <c r="O74" i="18"/>
  <c r="O89" i="18"/>
  <c r="P93" i="18"/>
  <c r="O133" i="18"/>
  <c r="M135" i="18"/>
  <c r="P135" i="18" s="1"/>
  <c r="P137" i="18"/>
  <c r="L184" i="18"/>
  <c r="O186" i="18"/>
  <c r="I276" i="18"/>
  <c r="K276" i="18" s="1"/>
  <c r="O318" i="18"/>
  <c r="L229" i="14"/>
  <c r="L68" i="16"/>
  <c r="O68" i="16" s="1"/>
  <c r="L171" i="16"/>
  <c r="O171" i="16" s="1"/>
  <c r="L267" i="16"/>
  <c r="O267" i="16" s="1"/>
  <c r="L301" i="16"/>
  <c r="I197" i="17"/>
  <c r="K197" i="17" s="1"/>
  <c r="L198" i="17"/>
  <c r="O198" i="17" s="1"/>
  <c r="L228" i="17"/>
  <c r="J327" i="17"/>
  <c r="K327" i="17" s="1"/>
  <c r="P46" i="18"/>
  <c r="P71" i="18"/>
  <c r="M138" i="18"/>
  <c r="P138" i="18" s="1"/>
  <c r="P140" i="18"/>
  <c r="N183" i="18"/>
  <c r="L187" i="18"/>
  <c r="O187" i="18" s="1"/>
  <c r="O189" i="18"/>
  <c r="I233" i="18"/>
  <c r="K233" i="18" s="1"/>
  <c r="K244" i="18"/>
  <c r="I237" i="18"/>
  <c r="K365" i="18"/>
  <c r="J364" i="18"/>
  <c r="L304" i="16"/>
  <c r="O304" i="16" s="1"/>
  <c r="K701" i="16"/>
  <c r="L59" i="17"/>
  <c r="O59" i="17" s="1"/>
  <c r="K340" i="17"/>
  <c r="M549" i="17"/>
  <c r="M546" i="17" s="1"/>
  <c r="P546" i="17" s="1"/>
  <c r="K699" i="17"/>
  <c r="K720" i="17"/>
  <c r="K824" i="17"/>
  <c r="L9" i="18"/>
  <c r="L15" i="18"/>
  <c r="L29" i="18"/>
  <c r="N31" i="18"/>
  <c r="L47" i="18"/>
  <c r="O47" i="18" s="1"/>
  <c r="K115" i="18"/>
  <c r="I112" i="18"/>
  <c r="K112" i="18" s="1"/>
  <c r="N121" i="18"/>
  <c r="L168" i="18"/>
  <c r="O170" i="18"/>
  <c r="I174" i="18"/>
  <c r="K176" i="18"/>
  <c r="P182" i="18"/>
  <c r="N184" i="18"/>
  <c r="P184" i="18" s="1"/>
  <c r="P186" i="18"/>
  <c r="L121" i="16"/>
  <c r="O121" i="16" s="1"/>
  <c r="O69" i="17"/>
  <c r="O168" i="17"/>
  <c r="L209" i="17"/>
  <c r="O209" i="17" s="1"/>
  <c r="M317" i="17"/>
  <c r="P317" i="17" s="1"/>
  <c r="M404" i="17"/>
  <c r="P404" i="17" s="1"/>
  <c r="J433" i="17"/>
  <c r="K433" i="17" s="1"/>
  <c r="N23" i="18"/>
  <c r="P120" i="18"/>
  <c r="O127" i="18"/>
  <c r="N125" i="18"/>
  <c r="N167" i="18"/>
  <c r="L171" i="18"/>
  <c r="O171" i="18" s="1"/>
  <c r="O173" i="18"/>
  <c r="K288" i="18"/>
  <c r="J275" i="18"/>
  <c r="L43" i="16"/>
  <c r="L41" i="16" s="1"/>
  <c r="K204" i="16"/>
  <c r="N264" i="17"/>
  <c r="P264" i="17" s="1"/>
  <c r="M267" i="17"/>
  <c r="P267" i="17" s="1"/>
  <c r="L304" i="17"/>
  <c r="O304" i="17" s="1"/>
  <c r="P353" i="17"/>
  <c r="K360" i="17"/>
  <c r="N404" i="17"/>
  <c r="N402" i="17" s="1"/>
  <c r="M408" i="17"/>
  <c r="P408" i="17" s="1"/>
  <c r="K647" i="17"/>
  <c r="K729" i="17"/>
  <c r="K828" i="17"/>
  <c r="P127" i="18"/>
  <c r="N151" i="18"/>
  <c r="N149" i="18" s="1"/>
  <c r="P166" i="18"/>
  <c r="N168" i="18"/>
  <c r="P168" i="18" s="1"/>
  <c r="P170" i="18"/>
  <c r="L229" i="18"/>
  <c r="L249" i="18"/>
  <c r="O503" i="18"/>
  <c r="L502" i="18"/>
  <c r="N523" i="18"/>
  <c r="O739" i="18"/>
  <c r="L737" i="18"/>
  <c r="O737" i="18" s="1"/>
  <c r="L152" i="18"/>
  <c r="O152" i="18" s="1"/>
  <c r="L155" i="18"/>
  <c r="O155" i="18" s="1"/>
  <c r="P262" i="18"/>
  <c r="P299" i="18"/>
  <c r="O320" i="18"/>
  <c r="O323" i="18"/>
  <c r="M330" i="18"/>
  <c r="M405" i="18"/>
  <c r="P405" i="18" s="1"/>
  <c r="P407" i="18"/>
  <c r="I522" i="18"/>
  <c r="O632" i="18"/>
  <c r="L639" i="18"/>
  <c r="O639" i="18" s="1"/>
  <c r="O660" i="18"/>
  <c r="N739" i="18"/>
  <c r="N737" i="18" s="1"/>
  <c r="N740" i="18"/>
  <c r="N754" i="18"/>
  <c r="P320" i="18"/>
  <c r="I364" i="18"/>
  <c r="N525" i="18"/>
  <c r="O772" i="18"/>
  <c r="L770" i="18"/>
  <c r="O770" i="18" s="1"/>
  <c r="O333" i="18"/>
  <c r="P336" i="18"/>
  <c r="L347" i="18"/>
  <c r="N348" i="18"/>
  <c r="O348" i="18" s="1"/>
  <c r="K372" i="18"/>
  <c r="M391" i="18"/>
  <c r="P397" i="18"/>
  <c r="P403" i="18"/>
  <c r="M408" i="18"/>
  <c r="P408" i="18" s="1"/>
  <c r="P410" i="18"/>
  <c r="N444" i="18"/>
  <c r="P468" i="18"/>
  <c r="K569" i="18"/>
  <c r="K647" i="18"/>
  <c r="N772" i="18"/>
  <c r="N773" i="18"/>
  <c r="P807" i="18"/>
  <c r="M805" i="18"/>
  <c r="P805" i="18" s="1"/>
  <c r="O690" i="18"/>
  <c r="L687" i="18"/>
  <c r="O756" i="18"/>
  <c r="L754" i="18"/>
  <c r="O754" i="18" s="1"/>
  <c r="O806" i="18"/>
  <c r="L805" i="18"/>
  <c r="O805" i="18" s="1"/>
  <c r="O350" i="18"/>
  <c r="M404" i="18"/>
  <c r="P404" i="18" s="1"/>
  <c r="P504" i="18"/>
  <c r="M502" i="18"/>
  <c r="P502" i="18" s="1"/>
  <c r="K561" i="18"/>
  <c r="L631" i="18"/>
  <c r="O634" i="18"/>
  <c r="M634" i="18"/>
  <c r="N657" i="18"/>
  <c r="K675" i="18"/>
  <c r="K674" i="18"/>
  <c r="I654" i="18"/>
  <c r="K654" i="18" s="1"/>
  <c r="K673" i="18"/>
  <c r="K669" i="18"/>
  <c r="K672" i="18"/>
  <c r="N687" i="18"/>
  <c r="N685" i="18" s="1"/>
  <c r="N688" i="18"/>
  <c r="N756" i="18"/>
  <c r="N757" i="18"/>
  <c r="N770" i="18"/>
  <c r="J537" i="18"/>
  <c r="J522" i="18" s="1"/>
  <c r="I434" i="18"/>
  <c r="L526" i="18"/>
  <c r="O526" i="18" s="1"/>
  <c r="L533" i="18"/>
  <c r="O533" i="18" s="1"/>
  <c r="L658" i="18"/>
  <c r="O658" i="18" s="1"/>
  <c r="N789" i="18"/>
  <c r="L347" i="15"/>
  <c r="L345" i="15" s="1"/>
  <c r="N90" i="16"/>
  <c r="N88" i="16" s="1"/>
  <c r="L789" i="16"/>
  <c r="O789" i="16" s="1"/>
  <c r="L68" i="17"/>
  <c r="L66" i="17" s="1"/>
  <c r="I77" i="17"/>
  <c r="I65" i="17" s="1"/>
  <c r="K65" i="17" s="1"/>
  <c r="I112" i="17"/>
  <c r="K112" i="17" s="1"/>
  <c r="M155" i="17"/>
  <c r="P155" i="17" s="1"/>
  <c r="L187" i="17"/>
  <c r="O187" i="17" s="1"/>
  <c r="L267" i="17"/>
  <c r="O267" i="17" s="1"/>
  <c r="L404" i="17"/>
  <c r="O404" i="17" s="1"/>
  <c r="K460" i="17"/>
  <c r="L526" i="17"/>
  <c r="O526" i="17" s="1"/>
  <c r="L546" i="17"/>
  <c r="O546" i="17" s="1"/>
  <c r="K725" i="17"/>
  <c r="L788" i="17"/>
  <c r="O788" i="17" s="1"/>
  <c r="K537" i="16"/>
  <c r="L33" i="17"/>
  <c r="L31" i="17" s="1"/>
  <c r="M348" i="17"/>
  <c r="P348" i="17" s="1"/>
  <c r="O634" i="17"/>
  <c r="O791" i="17"/>
  <c r="L135" i="16"/>
  <c r="O135" i="16" s="1"/>
  <c r="O641" i="16"/>
  <c r="K649" i="16"/>
  <c r="K669" i="16"/>
  <c r="K822" i="16"/>
  <c r="L72" i="17"/>
  <c r="O72" i="17" s="1"/>
  <c r="K146" i="17"/>
  <c r="L317" i="17"/>
  <c r="L315" i="17" s="1"/>
  <c r="O315" i="17" s="1"/>
  <c r="N351" i="17"/>
  <c r="P351" i="17" s="1"/>
  <c r="K355" i="17"/>
  <c r="K362" i="17"/>
  <c r="K435" i="17"/>
  <c r="O557" i="17"/>
  <c r="I592" i="14"/>
  <c r="K592" i="14" s="1"/>
  <c r="N90" i="17"/>
  <c r="N88" i="17" s="1"/>
  <c r="L135" i="17"/>
  <c r="O135" i="17" s="1"/>
  <c r="I148" i="17"/>
  <c r="K148" i="17" s="1"/>
  <c r="L151" i="17"/>
  <c r="O266" i="17"/>
  <c r="P282" i="17"/>
  <c r="N300" i="17"/>
  <c r="N298" i="17" s="1"/>
  <c r="L318" i="17"/>
  <c r="O318" i="17" s="1"/>
  <c r="M405" i="17"/>
  <c r="P405" i="17" s="1"/>
  <c r="L469" i="17"/>
  <c r="L467" i="17" s="1"/>
  <c r="O467" i="17" s="1"/>
  <c r="L687" i="17"/>
  <c r="L685" i="17" s="1"/>
  <c r="O685" i="17" s="1"/>
  <c r="K822" i="17"/>
  <c r="K827" i="17"/>
  <c r="L44" i="17"/>
  <c r="N121" i="17"/>
  <c r="N119" i="17" s="1"/>
  <c r="O137" i="17"/>
  <c r="M167" i="17"/>
  <c r="M165" i="17" s="1"/>
  <c r="N183" i="17"/>
  <c r="N181" i="17" s="1"/>
  <c r="M26" i="17"/>
  <c r="M16" i="17" s="1"/>
  <c r="L238" i="17"/>
  <c r="O238" i="17" s="1"/>
  <c r="P280" i="17"/>
  <c r="O301" i="17"/>
  <c r="M318" i="17"/>
  <c r="P318" i="17" s="1"/>
  <c r="L347" i="17"/>
  <c r="L408" i="17"/>
  <c r="O408" i="17" s="1"/>
  <c r="L470" i="17"/>
  <c r="O470" i="17" s="1"/>
  <c r="K577" i="17"/>
  <c r="K825" i="17"/>
  <c r="I130" i="14"/>
  <c r="K130" i="14" s="1"/>
  <c r="O269" i="15"/>
  <c r="L69" i="16"/>
  <c r="O69" i="16" s="1"/>
  <c r="L151" i="16"/>
  <c r="L230" i="16"/>
  <c r="L231" i="16"/>
  <c r="M318" i="16"/>
  <c r="P318" i="16" s="1"/>
  <c r="L167" i="16"/>
  <c r="L165" i="16" s="1"/>
  <c r="N68" i="15"/>
  <c r="N66" i="15" s="1"/>
  <c r="J722" i="15"/>
  <c r="K360" i="16"/>
  <c r="N404" i="16"/>
  <c r="N402" i="16" s="1"/>
  <c r="M59" i="17"/>
  <c r="P59" i="17" s="1"/>
  <c r="K79" i="17"/>
  <c r="N91" i="17"/>
  <c r="O91" i="17" s="1"/>
  <c r="K98" i="17"/>
  <c r="M171" i="17"/>
  <c r="P171" i="17" s="1"/>
  <c r="M183" i="17"/>
  <c r="M181" i="17" s="1"/>
  <c r="M187" i="17"/>
  <c r="P187" i="17" s="1"/>
  <c r="L249" i="17"/>
  <c r="O249" i="17" s="1"/>
  <c r="P320" i="17"/>
  <c r="N334" i="17"/>
  <c r="O456" i="17"/>
  <c r="K462" i="17"/>
  <c r="O479" i="17"/>
  <c r="K672" i="17"/>
  <c r="M690" i="17"/>
  <c r="J722" i="17"/>
  <c r="K722" i="17" s="1"/>
  <c r="P124" i="17"/>
  <c r="P137" i="17"/>
  <c r="K145" i="17"/>
  <c r="P173" i="17"/>
  <c r="P189" i="17"/>
  <c r="O353" i="17"/>
  <c r="K370" i="17"/>
  <c r="K443" i="17"/>
  <c r="M472" i="17"/>
  <c r="K673" i="17"/>
  <c r="K824" i="16"/>
  <c r="L55" i="17"/>
  <c r="L53" i="17" s="1"/>
  <c r="L138" i="17"/>
  <c r="O138" i="17" s="1"/>
  <c r="O282" i="17"/>
  <c r="K338" i="17"/>
  <c r="L348" i="17"/>
  <c r="O348" i="17" s="1"/>
  <c r="L688" i="17"/>
  <c r="O688" i="17" s="1"/>
  <c r="K821" i="17"/>
  <c r="M23" i="17"/>
  <c r="M21" i="17" s="1"/>
  <c r="N26" i="17"/>
  <c r="N16" i="17" s="1"/>
  <c r="N14" i="17" s="1"/>
  <c r="M68" i="17"/>
  <c r="M66" i="17" s="1"/>
  <c r="N134" i="17"/>
  <c r="N132" i="17" s="1"/>
  <c r="O303" i="17"/>
  <c r="K359" i="17"/>
  <c r="K568" i="17"/>
  <c r="K621" i="17"/>
  <c r="L631" i="17"/>
  <c r="K700" i="17"/>
  <c r="K723" i="17"/>
  <c r="K700" i="16"/>
  <c r="K828" i="16"/>
  <c r="N55" i="17"/>
  <c r="O186" i="17"/>
  <c r="P301" i="17"/>
  <c r="P303" i="17"/>
  <c r="L334" i="17"/>
  <c r="O334" i="17" s="1"/>
  <c r="N391" i="17"/>
  <c r="N389" i="17" s="1"/>
  <c r="P168" i="17"/>
  <c r="O15" i="17"/>
  <c r="P19" i="17"/>
  <c r="O12" i="17"/>
  <c r="L9" i="17"/>
  <c r="L231" i="15"/>
  <c r="N317" i="15"/>
  <c r="N315" i="15" s="1"/>
  <c r="M404" i="15"/>
  <c r="P404" i="15" s="1"/>
  <c r="L44" i="16"/>
  <c r="O44" i="16" s="1"/>
  <c r="P46" i="16"/>
  <c r="N69" i="16"/>
  <c r="L72" i="16"/>
  <c r="O72" i="16" s="1"/>
  <c r="M90" i="16"/>
  <c r="M88" i="16" s="1"/>
  <c r="N121" i="16"/>
  <c r="N119" i="16" s="1"/>
  <c r="L125" i="16"/>
  <c r="O125" i="16" s="1"/>
  <c r="I216" i="16"/>
  <c r="K216" i="16" s="1"/>
  <c r="M279" i="16"/>
  <c r="M277" i="16" s="1"/>
  <c r="K369" i="16"/>
  <c r="J364" i="16"/>
  <c r="L395" i="16"/>
  <c r="O395" i="16" s="1"/>
  <c r="L469" i="16"/>
  <c r="L467" i="16" s="1"/>
  <c r="O467" i="16" s="1"/>
  <c r="L631" i="16"/>
  <c r="O631" i="16" s="1"/>
  <c r="L26" i="17"/>
  <c r="P32" i="17"/>
  <c r="M29" i="17"/>
  <c r="O46" i="17"/>
  <c r="O71" i="17"/>
  <c r="O96" i="17"/>
  <c r="L90" i="17"/>
  <c r="P154" i="17"/>
  <c r="I314" i="15"/>
  <c r="K314" i="15" s="1"/>
  <c r="M94" i="16"/>
  <c r="P94" i="16" s="1"/>
  <c r="L209" i="16"/>
  <c r="O209" i="16" s="1"/>
  <c r="L263" i="16"/>
  <c r="L261" i="16" s="1"/>
  <c r="M395" i="16"/>
  <c r="P395" i="16" s="1"/>
  <c r="O472" i="16"/>
  <c r="O19" i="17"/>
  <c r="L29" i="17"/>
  <c r="M34" i="17"/>
  <c r="P34" i="17" s="1"/>
  <c r="O35" i="17"/>
  <c r="M138" i="17"/>
  <c r="P138" i="17" s="1"/>
  <c r="P140" i="17"/>
  <c r="M134" i="17"/>
  <c r="P134" i="17" s="1"/>
  <c r="P182" i="17"/>
  <c r="L217" i="15"/>
  <c r="O217" i="15" s="1"/>
  <c r="M167" i="16"/>
  <c r="M165" i="16" s="1"/>
  <c r="I314" i="16"/>
  <c r="K314" i="16" s="1"/>
  <c r="O32" i="17"/>
  <c r="L23" i="17"/>
  <c r="O58" i="17"/>
  <c r="N68" i="17"/>
  <c r="O173" i="17"/>
  <c r="L167" i="17"/>
  <c r="I112" i="16"/>
  <c r="K112" i="16" s="1"/>
  <c r="I174" i="16"/>
  <c r="K174" i="16" s="1"/>
  <c r="K675" i="16"/>
  <c r="K699" i="16"/>
  <c r="K826" i="16"/>
  <c r="P25" i="17"/>
  <c r="M15" i="17"/>
  <c r="N31" i="17"/>
  <c r="L56" i="17"/>
  <c r="L171" i="17"/>
  <c r="O171" i="17" s="1"/>
  <c r="K193" i="17"/>
  <c r="I190" i="17"/>
  <c r="K190" i="17" s="1"/>
  <c r="K359" i="16"/>
  <c r="K362" i="16"/>
  <c r="K720" i="16"/>
  <c r="P12" i="17"/>
  <c r="P46" i="17"/>
  <c r="N56" i="17"/>
  <c r="P56" i="17" s="1"/>
  <c r="P58" i="17"/>
  <c r="P71" i="17"/>
  <c r="I76" i="17"/>
  <c r="P93" i="17"/>
  <c r="M90" i="17"/>
  <c r="O124" i="17"/>
  <c r="L121" i="17"/>
  <c r="O121" i="17" s="1"/>
  <c r="N19" i="17"/>
  <c r="N12" i="17"/>
  <c r="N44" i="17"/>
  <c r="N23" i="17"/>
  <c r="J143" i="17"/>
  <c r="J131" i="17" s="1"/>
  <c r="K144" i="17"/>
  <c r="I233" i="17"/>
  <c r="K233" i="17" s="1"/>
  <c r="K244" i="17"/>
  <c r="I237" i="17"/>
  <c r="P266" i="17"/>
  <c r="M263" i="17"/>
  <c r="K276" i="17"/>
  <c r="O333" i="17"/>
  <c r="L331" i="17"/>
  <c r="O331" i="17" s="1"/>
  <c r="I543" i="17"/>
  <c r="M44" i="17"/>
  <c r="M47" i="17"/>
  <c r="P47" i="17" s="1"/>
  <c r="M69" i="17"/>
  <c r="P69" i="17" s="1"/>
  <c r="M72" i="17"/>
  <c r="P72" i="17" s="1"/>
  <c r="M151" i="17"/>
  <c r="P166" i="17"/>
  <c r="P186" i="17"/>
  <c r="L263" i="17"/>
  <c r="L283" i="17"/>
  <c r="O283" i="17" s="1"/>
  <c r="K287" i="17"/>
  <c r="L300" i="17"/>
  <c r="K325" i="17"/>
  <c r="L330" i="17"/>
  <c r="L429" i="17"/>
  <c r="O429" i="17" s="1"/>
  <c r="L421" i="17"/>
  <c r="O421" i="17" s="1"/>
  <c r="O431" i="17"/>
  <c r="O93" i="17"/>
  <c r="I131" i="17"/>
  <c r="K131" i="17" s="1"/>
  <c r="L280" i="17"/>
  <c r="O280" i="17" s="1"/>
  <c r="M283" i="17"/>
  <c r="P283" i="17" s="1"/>
  <c r="M300" i="17"/>
  <c r="N347" i="17"/>
  <c r="N345" i="17" s="1"/>
  <c r="O350" i="17"/>
  <c r="P420" i="17"/>
  <c r="P755" i="17"/>
  <c r="M754" i="17"/>
  <c r="P754" i="17" s="1"/>
  <c r="K372" i="17"/>
  <c r="J365" i="17"/>
  <c r="K365" i="17" s="1"/>
  <c r="O154" i="17"/>
  <c r="N167" i="17"/>
  <c r="O170" i="17"/>
  <c r="L229" i="17"/>
  <c r="I248" i="17"/>
  <c r="K248" i="17" s="1"/>
  <c r="I434" i="17"/>
  <c r="K438" i="17"/>
  <c r="K651" i="17"/>
  <c r="I628" i="17"/>
  <c r="K628" i="17" s="1"/>
  <c r="P150" i="17"/>
  <c r="P170" i="17"/>
  <c r="I208" i="17"/>
  <c r="K208" i="17" s="1"/>
  <c r="M279" i="17"/>
  <c r="N317" i="17"/>
  <c r="N315" i="17" s="1"/>
  <c r="L351" i="17"/>
  <c r="I364" i="17"/>
  <c r="L447" i="17"/>
  <c r="O447" i="17" s="1"/>
  <c r="O449" i="17"/>
  <c r="L446" i="17"/>
  <c r="O446" i="17" s="1"/>
  <c r="M449" i="17"/>
  <c r="K378" i="17"/>
  <c r="L392" i="17"/>
  <c r="O392" i="17" s="1"/>
  <c r="O394" i="17"/>
  <c r="O445" i="17"/>
  <c r="J537" i="17"/>
  <c r="J522" i="17" s="1"/>
  <c r="K538" i="17"/>
  <c r="J559" i="17"/>
  <c r="J543" i="17" s="1"/>
  <c r="K576" i="17"/>
  <c r="K593" i="17"/>
  <c r="N754" i="17"/>
  <c r="P738" i="17"/>
  <c r="M737" i="17"/>
  <c r="P737" i="17" s="1"/>
  <c r="K381" i="17"/>
  <c r="J374" i="17"/>
  <c r="K374" i="17" s="1"/>
  <c r="P390" i="17"/>
  <c r="L395" i="17"/>
  <c r="O395" i="17" s="1"/>
  <c r="O397" i="17"/>
  <c r="L533" i="17"/>
  <c r="O533" i="17" s="1"/>
  <c r="O535" i="17"/>
  <c r="L525" i="17"/>
  <c r="J669" i="17"/>
  <c r="K675" i="17"/>
  <c r="P686" i="17"/>
  <c r="N737" i="17"/>
  <c r="I785" i="17"/>
  <c r="K785" i="17" s="1"/>
  <c r="K800" i="17"/>
  <c r="O806" i="17"/>
  <c r="L805" i="17"/>
  <c r="O805" i="17" s="1"/>
  <c r="L405" i="17"/>
  <c r="O405" i="17" s="1"/>
  <c r="L422" i="17"/>
  <c r="O422" i="17" s="1"/>
  <c r="O424" i="17"/>
  <c r="O545" i="17"/>
  <c r="P771" i="17"/>
  <c r="M770" i="17"/>
  <c r="P770" i="17" s="1"/>
  <c r="M347" i="17"/>
  <c r="M424" i="17"/>
  <c r="M631" i="17"/>
  <c r="M632" i="17"/>
  <c r="P632" i="17" s="1"/>
  <c r="P634" i="17"/>
  <c r="L658" i="17"/>
  <c r="O658" i="17" s="1"/>
  <c r="O660" i="17"/>
  <c r="M660" i="17"/>
  <c r="N770" i="17"/>
  <c r="N414" i="17" s="1"/>
  <c r="O787" i="17"/>
  <c r="N789" i="17"/>
  <c r="O549" i="17"/>
  <c r="L632" i="17"/>
  <c r="O632" i="17" s="1"/>
  <c r="L639" i="17"/>
  <c r="O639" i="17" s="1"/>
  <c r="L655" i="17"/>
  <c r="O655" i="17" s="1"/>
  <c r="M786" i="17"/>
  <c r="P786" i="17" s="1"/>
  <c r="M805" i="17"/>
  <c r="P805" i="17" s="1"/>
  <c r="K360" i="14"/>
  <c r="L422" i="14"/>
  <c r="O422" i="14" s="1"/>
  <c r="P173" i="15"/>
  <c r="N405" i="15"/>
  <c r="N404" i="15"/>
  <c r="N402" i="15" s="1"/>
  <c r="N55" i="16"/>
  <c r="N53" i="16" s="1"/>
  <c r="N56" i="16"/>
  <c r="O56" i="16" s="1"/>
  <c r="L90" i="16"/>
  <c r="L88" i="16" s="1"/>
  <c r="O96" i="16"/>
  <c r="L94" i="16"/>
  <c r="O94" i="16" s="1"/>
  <c r="N134" i="16"/>
  <c r="N132" i="16" s="1"/>
  <c r="N135" i="16"/>
  <c r="L184" i="16"/>
  <c r="L183" i="16"/>
  <c r="L181" i="16" s="1"/>
  <c r="O353" i="16"/>
  <c r="L351" i="16"/>
  <c r="O351" i="16" s="1"/>
  <c r="M408" i="16"/>
  <c r="P408" i="16" s="1"/>
  <c r="P410" i="16"/>
  <c r="N43" i="16"/>
  <c r="N41" i="16" s="1"/>
  <c r="N26" i="16"/>
  <c r="N16" i="16" s="1"/>
  <c r="N14" i="16" s="1"/>
  <c r="N47" i="16"/>
  <c r="L347" i="16"/>
  <c r="L345" i="16" s="1"/>
  <c r="L348" i="16"/>
  <c r="M135" i="15"/>
  <c r="P135" i="15" s="1"/>
  <c r="O137" i="15"/>
  <c r="N151" i="15"/>
  <c r="N149" i="15" s="1"/>
  <c r="M183" i="15"/>
  <c r="M181" i="15" s="1"/>
  <c r="N348" i="15"/>
  <c r="N347" i="15"/>
  <c r="N345" i="15" s="1"/>
  <c r="K146" i="16"/>
  <c r="I130" i="16"/>
  <c r="K130" i="16" s="1"/>
  <c r="P285" i="16"/>
  <c r="M283" i="16"/>
  <c r="P283" i="16" s="1"/>
  <c r="L330" i="16"/>
  <c r="L328" i="16" s="1"/>
  <c r="L331" i="16"/>
  <c r="O331" i="16" s="1"/>
  <c r="M267" i="15"/>
  <c r="P267" i="15" s="1"/>
  <c r="P269" i="15"/>
  <c r="O61" i="16"/>
  <c r="L59" i="16"/>
  <c r="O59" i="16" s="1"/>
  <c r="L134" i="16"/>
  <c r="O140" i="16"/>
  <c r="L138" i="16"/>
  <c r="O138" i="16" s="1"/>
  <c r="K435" i="16"/>
  <c r="I433" i="16"/>
  <c r="I417" i="16" s="1"/>
  <c r="O189" i="16"/>
  <c r="L187" i="16"/>
  <c r="O187" i="16" s="1"/>
  <c r="L33" i="16"/>
  <c r="K365" i="15"/>
  <c r="P61" i="16"/>
  <c r="I148" i="16"/>
  <c r="K148" i="16" s="1"/>
  <c r="M168" i="16"/>
  <c r="O170" i="16"/>
  <c r="L283" i="16"/>
  <c r="O283" i="16" s="1"/>
  <c r="L321" i="16"/>
  <c r="O321" i="16" s="1"/>
  <c r="K370" i="16"/>
  <c r="I654" i="16"/>
  <c r="K654" i="16" s="1"/>
  <c r="K723" i="16"/>
  <c r="P59" i="16"/>
  <c r="I233" i="16"/>
  <c r="K233" i="16" s="1"/>
  <c r="P331" i="16"/>
  <c r="K379" i="16"/>
  <c r="O353" i="15"/>
  <c r="I77" i="16"/>
  <c r="K77" i="16" s="1"/>
  <c r="O303" i="16"/>
  <c r="K672" i="16"/>
  <c r="O690" i="16"/>
  <c r="L230" i="15"/>
  <c r="O350" i="15"/>
  <c r="K372" i="15"/>
  <c r="O93" i="16"/>
  <c r="N152" i="16"/>
  <c r="P152" i="16" s="1"/>
  <c r="P154" i="16"/>
  <c r="L217" i="16"/>
  <c r="O217" i="16" s="1"/>
  <c r="K340" i="16"/>
  <c r="K372" i="16"/>
  <c r="M391" i="16"/>
  <c r="K673" i="16"/>
  <c r="O791" i="16"/>
  <c r="K827" i="16"/>
  <c r="K381" i="16"/>
  <c r="N264" i="16"/>
  <c r="P264" i="16" s="1"/>
  <c r="N263" i="16"/>
  <c r="N261" i="16" s="1"/>
  <c r="J288" i="16"/>
  <c r="J275" i="16" s="1"/>
  <c r="I275" i="16"/>
  <c r="L408" i="16"/>
  <c r="O408" i="16" s="1"/>
  <c r="O410" i="16"/>
  <c r="L171" i="15"/>
  <c r="O171" i="15" s="1"/>
  <c r="M279" i="15"/>
  <c r="P279" i="15" s="1"/>
  <c r="M391" i="15"/>
  <c r="P391" i="15" s="1"/>
  <c r="L47" i="16"/>
  <c r="O47" i="16" s="1"/>
  <c r="I76" i="16"/>
  <c r="I64" i="16" s="1"/>
  <c r="K64" i="16" s="1"/>
  <c r="K79" i="16"/>
  <c r="P140" i="16"/>
  <c r="K215" i="16"/>
  <c r="I208" i="16"/>
  <c r="K208" i="16" s="1"/>
  <c r="M301" i="16"/>
  <c r="P303" i="16"/>
  <c r="M424" i="16"/>
  <c r="P424" i="16" s="1"/>
  <c r="L422" i="16"/>
  <c r="O422" i="16" s="1"/>
  <c r="L421" i="16"/>
  <c r="L419" i="16" s="1"/>
  <c r="L526" i="16"/>
  <c r="O526" i="16" s="1"/>
  <c r="O528" i="16"/>
  <c r="N330" i="15"/>
  <c r="N328" i="15" s="1"/>
  <c r="O58" i="16"/>
  <c r="K115" i="16"/>
  <c r="L122" i="16"/>
  <c r="O122" i="16" s="1"/>
  <c r="O157" i="16"/>
  <c r="L155" i="16"/>
  <c r="O155" i="16" s="1"/>
  <c r="K271" i="16"/>
  <c r="I260" i="16"/>
  <c r="K260" i="16" s="1"/>
  <c r="M351" i="16"/>
  <c r="P351" i="16" s="1"/>
  <c r="M347" i="16"/>
  <c r="M345" i="16" s="1"/>
  <c r="P353" i="16"/>
  <c r="M152" i="15"/>
  <c r="P152" i="15" s="1"/>
  <c r="K340" i="15"/>
  <c r="K379" i="15"/>
  <c r="L26" i="16"/>
  <c r="L24" i="16" s="1"/>
  <c r="P71" i="16"/>
  <c r="P137" i="16"/>
  <c r="O269" i="14"/>
  <c r="O168" i="15"/>
  <c r="M187" i="16"/>
  <c r="P187" i="16" s="1"/>
  <c r="M183" i="16"/>
  <c r="M181" i="16" s="1"/>
  <c r="P189" i="16"/>
  <c r="N283" i="16"/>
  <c r="N279" i="16"/>
  <c r="N277" i="16" s="1"/>
  <c r="K309" i="16"/>
  <c r="I297" i="16"/>
  <c r="K297" i="16" s="1"/>
  <c r="O394" i="16"/>
  <c r="L391" i="16"/>
  <c r="O391" i="16" s="1"/>
  <c r="L392" i="16"/>
  <c r="O392" i="16" s="1"/>
  <c r="I208" i="13"/>
  <c r="K208" i="13" s="1"/>
  <c r="M125" i="15"/>
  <c r="P125" i="15" s="1"/>
  <c r="N121" i="15"/>
  <c r="N119" i="15" s="1"/>
  <c r="N134" i="15"/>
  <c r="N132" i="15" s="1"/>
  <c r="M405" i="15"/>
  <c r="P405" i="15" s="1"/>
  <c r="O634" i="15"/>
  <c r="L23" i="16"/>
  <c r="L21" i="16" s="1"/>
  <c r="O46" i="16"/>
  <c r="L249" i="16"/>
  <c r="O249" i="16" s="1"/>
  <c r="L228" i="16"/>
  <c r="M334" i="16"/>
  <c r="P334" i="16" s="1"/>
  <c r="M330" i="16"/>
  <c r="M328" i="16" s="1"/>
  <c r="O154" i="16"/>
  <c r="O282" i="16"/>
  <c r="K378" i="16"/>
  <c r="O407" i="16"/>
  <c r="I443" i="16"/>
  <c r="K443" i="16" s="1"/>
  <c r="K647" i="16"/>
  <c r="O266" i="16"/>
  <c r="J327" i="16"/>
  <c r="K327" i="16" s="1"/>
  <c r="K374" i="16"/>
  <c r="M392" i="16"/>
  <c r="P392" i="16" s="1"/>
  <c r="K460" i="16"/>
  <c r="M472" i="16"/>
  <c r="L687" i="16"/>
  <c r="L685" i="16" s="1"/>
  <c r="O685" i="16" s="1"/>
  <c r="M690" i="16"/>
  <c r="K823" i="16"/>
  <c r="P394" i="16"/>
  <c r="L36" i="16"/>
  <c r="L34" i="16" s="1"/>
  <c r="O34" i="16" s="1"/>
  <c r="K821" i="16"/>
  <c r="N167" i="16"/>
  <c r="K365" i="16"/>
  <c r="K385" i="16"/>
  <c r="M404" i="16"/>
  <c r="M402" i="16" s="1"/>
  <c r="P402" i="16" s="1"/>
  <c r="I434" i="16"/>
  <c r="K434" i="16" s="1"/>
  <c r="I785" i="16"/>
  <c r="K785" i="16" s="1"/>
  <c r="O29" i="16"/>
  <c r="I276" i="14"/>
  <c r="K276" i="14" s="1"/>
  <c r="J722" i="14"/>
  <c r="K722" i="14" s="1"/>
  <c r="L94" i="15"/>
  <c r="O94" i="15" s="1"/>
  <c r="M122" i="15"/>
  <c r="P122" i="15" s="1"/>
  <c r="P170" i="15"/>
  <c r="L280" i="15"/>
  <c r="O280" i="15" s="1"/>
  <c r="M300" i="15"/>
  <c r="M298" i="15" s="1"/>
  <c r="K338" i="15"/>
  <c r="K360" i="15"/>
  <c r="L477" i="15"/>
  <c r="O477" i="15" s="1"/>
  <c r="J592" i="16"/>
  <c r="K592" i="16" s="1"/>
  <c r="K593" i="16"/>
  <c r="P264" i="12"/>
  <c r="K369" i="14"/>
  <c r="K372" i="14"/>
  <c r="M68" i="15"/>
  <c r="P68" i="15" s="1"/>
  <c r="I148" i="15"/>
  <c r="K148" i="15" s="1"/>
  <c r="I276" i="15"/>
  <c r="K276" i="15" s="1"/>
  <c r="P282" i="15"/>
  <c r="L391" i="15"/>
  <c r="O391" i="15" s="1"/>
  <c r="N391" i="15"/>
  <c r="N389" i="15" s="1"/>
  <c r="M23" i="16"/>
  <c r="P58" i="16"/>
  <c r="M55" i="16"/>
  <c r="K98" i="16"/>
  <c r="I86" i="16"/>
  <c r="K86" i="16" s="1"/>
  <c r="L198" i="16"/>
  <c r="O198" i="16" s="1"/>
  <c r="L183" i="13"/>
  <c r="L181" i="13" s="1"/>
  <c r="K338" i="14"/>
  <c r="K365" i="14"/>
  <c r="L283" i="15"/>
  <c r="O283" i="15" s="1"/>
  <c r="L395" i="15"/>
  <c r="O395" i="15" s="1"/>
  <c r="L408" i="15"/>
  <c r="O408" i="15" s="1"/>
  <c r="N317" i="16"/>
  <c r="N315" i="16" s="1"/>
  <c r="N318" i="16"/>
  <c r="K726" i="12"/>
  <c r="N43" i="14"/>
  <c r="N41" i="14" s="1"/>
  <c r="M55" i="14"/>
  <c r="M53" i="14" s="1"/>
  <c r="N69" i="15"/>
  <c r="M72" i="15"/>
  <c r="P72" i="15" s="1"/>
  <c r="O91" i="15"/>
  <c r="N135" i="15"/>
  <c r="N152" i="15"/>
  <c r="I197" i="15"/>
  <c r="K197" i="15" s="1"/>
  <c r="L279" i="15"/>
  <c r="O333" i="15"/>
  <c r="J721" i="15"/>
  <c r="L19" i="16"/>
  <c r="L15" i="16"/>
  <c r="O25" i="16"/>
  <c r="M47" i="16"/>
  <c r="P47" i="16" s="1"/>
  <c r="M26" i="16"/>
  <c r="P49" i="16"/>
  <c r="M43" i="16"/>
  <c r="L238" i="16"/>
  <c r="L229" i="16"/>
  <c r="K728" i="14"/>
  <c r="J143" i="15"/>
  <c r="J131" i="15" s="1"/>
  <c r="I260" i="15"/>
  <c r="K260" i="15" s="1"/>
  <c r="L317" i="15"/>
  <c r="O317" i="15" s="1"/>
  <c r="L330" i="15"/>
  <c r="L328" i="15" s="1"/>
  <c r="K647" i="15"/>
  <c r="L657" i="15"/>
  <c r="O657" i="15" s="1"/>
  <c r="P25" i="16"/>
  <c r="M15" i="16"/>
  <c r="L55" i="16"/>
  <c r="M121" i="16"/>
  <c r="P121" i="16" s="1"/>
  <c r="P127" i="16"/>
  <c r="M134" i="16"/>
  <c r="P134" i="16" s="1"/>
  <c r="M263" i="16"/>
  <c r="M261" i="16" s="1"/>
  <c r="P269" i="16"/>
  <c r="L279" i="16"/>
  <c r="P420" i="16"/>
  <c r="O630" i="16"/>
  <c r="P686" i="16"/>
  <c r="P32" i="16"/>
  <c r="M29" i="16"/>
  <c r="N23" i="16"/>
  <c r="K87" i="16"/>
  <c r="K99" i="16"/>
  <c r="K144" i="16"/>
  <c r="J143" i="16"/>
  <c r="J131" i="16" s="1"/>
  <c r="O787" i="16"/>
  <c r="L786" i="16"/>
  <c r="O786" i="16" s="1"/>
  <c r="P133" i="16"/>
  <c r="K145" i="16"/>
  <c r="I143" i="16"/>
  <c r="P186" i="16"/>
  <c r="N184" i="16"/>
  <c r="L317" i="16"/>
  <c r="P323" i="16"/>
  <c r="M317" i="16"/>
  <c r="P317" i="16" s="1"/>
  <c r="O403" i="16"/>
  <c r="O557" i="16"/>
  <c r="L555" i="16"/>
  <c r="O555" i="16" s="1"/>
  <c r="P12" i="16"/>
  <c r="M9" i="16"/>
  <c r="M68" i="16"/>
  <c r="P68" i="16" s="1"/>
  <c r="O186" i="16"/>
  <c r="I190" i="16"/>
  <c r="K190" i="16" s="1"/>
  <c r="K244" i="16"/>
  <c r="L280" i="16"/>
  <c r="O280" i="16" s="1"/>
  <c r="P282" i="16"/>
  <c r="N12" i="16"/>
  <c r="O35" i="16"/>
  <c r="P74" i="16"/>
  <c r="P93" i="16"/>
  <c r="N91" i="16"/>
  <c r="P91" i="16" s="1"/>
  <c r="P124" i="16"/>
  <c r="M151" i="16"/>
  <c r="P157" i="16"/>
  <c r="P170" i="16"/>
  <c r="N168" i="16"/>
  <c r="N183" i="16"/>
  <c r="N181" i="16" s="1"/>
  <c r="K197" i="16"/>
  <c r="I237" i="16"/>
  <c r="K255" i="16"/>
  <c r="I248" i="16"/>
  <c r="K248" i="16" s="1"/>
  <c r="P266" i="16"/>
  <c r="M300" i="16"/>
  <c r="P306" i="16"/>
  <c r="L318" i="16"/>
  <c r="O318" i="16" s="1"/>
  <c r="L334" i="16"/>
  <c r="O334" i="16" s="1"/>
  <c r="N348" i="16"/>
  <c r="P350" i="16"/>
  <c r="N347" i="16"/>
  <c r="M502" i="16"/>
  <c r="P502" i="16" s="1"/>
  <c r="P329" i="16"/>
  <c r="O350" i="16"/>
  <c r="I364" i="16"/>
  <c r="P407" i="16"/>
  <c r="N504" i="16"/>
  <c r="N502" i="16" s="1"/>
  <c r="K651" i="16"/>
  <c r="I628" i="16"/>
  <c r="K628" i="16" s="1"/>
  <c r="N685" i="16"/>
  <c r="K355" i="16"/>
  <c r="N391" i="16"/>
  <c r="N389" i="16" s="1"/>
  <c r="O456" i="16"/>
  <c r="L446" i="16"/>
  <c r="O535" i="16"/>
  <c r="L525" i="16"/>
  <c r="P555" i="16"/>
  <c r="M545" i="16"/>
  <c r="N629" i="16"/>
  <c r="N632" i="16"/>
  <c r="O632" i="16" s="1"/>
  <c r="M634" i="16"/>
  <c r="N688" i="16"/>
  <c r="J721" i="16"/>
  <c r="K721" i="16" s="1"/>
  <c r="L805" i="16"/>
  <c r="O805" i="16" s="1"/>
  <c r="K825" i="16"/>
  <c r="I559" i="16"/>
  <c r="K576" i="16"/>
  <c r="N737" i="16"/>
  <c r="N754" i="16"/>
  <c r="N770" i="16"/>
  <c r="N330" i="16"/>
  <c r="O333" i="16"/>
  <c r="L404" i="16"/>
  <c r="O404" i="16" s="1"/>
  <c r="O424" i="16"/>
  <c r="J433" i="16"/>
  <c r="J417" i="16" s="1"/>
  <c r="O545" i="16"/>
  <c r="L547" i="16"/>
  <c r="O547" i="16" s="1"/>
  <c r="M549" i="16"/>
  <c r="O634" i="16"/>
  <c r="L657" i="16"/>
  <c r="P806" i="16"/>
  <c r="M805" i="16"/>
  <c r="P805" i="16" s="1"/>
  <c r="P333" i="16"/>
  <c r="K338" i="16"/>
  <c r="N421" i="16"/>
  <c r="N419" i="16" s="1"/>
  <c r="J537" i="16"/>
  <c r="J522" i="16" s="1"/>
  <c r="K725" i="16"/>
  <c r="J722" i="16"/>
  <c r="K722" i="16" s="1"/>
  <c r="M69" i="15"/>
  <c r="P69" i="15" s="1"/>
  <c r="N263" i="13"/>
  <c r="N261" i="13" s="1"/>
  <c r="M300" i="13"/>
  <c r="M298" i="13" s="1"/>
  <c r="O58" i="15"/>
  <c r="K144" i="15"/>
  <c r="L90" i="12"/>
  <c r="L88" i="12" s="1"/>
  <c r="J721" i="12"/>
  <c r="K721" i="12" s="1"/>
  <c r="N167" i="13"/>
  <c r="N165" i="13" s="1"/>
  <c r="I275" i="13"/>
  <c r="K275" i="13" s="1"/>
  <c r="K255" i="14"/>
  <c r="O49" i="15"/>
  <c r="P71" i="15"/>
  <c r="M121" i="15"/>
  <c r="L183" i="15"/>
  <c r="L181" i="15" s="1"/>
  <c r="L198" i="15"/>
  <c r="O198" i="15" s="1"/>
  <c r="K224" i="15"/>
  <c r="L229" i="15"/>
  <c r="N300" i="15"/>
  <c r="N298" i="15" s="1"/>
  <c r="L331" i="15"/>
  <c r="O331" i="15" s="1"/>
  <c r="K359" i="15"/>
  <c r="M424" i="15"/>
  <c r="P424" i="15" s="1"/>
  <c r="I522" i="15"/>
  <c r="K522" i="15" s="1"/>
  <c r="N55" i="15"/>
  <c r="N53" i="15" s="1"/>
  <c r="M267" i="12"/>
  <c r="P267" i="12" s="1"/>
  <c r="I314" i="12"/>
  <c r="K314" i="12" s="1"/>
  <c r="I260" i="13"/>
  <c r="K260" i="13" s="1"/>
  <c r="O154" i="15"/>
  <c r="L167" i="15"/>
  <c r="L165" i="15" s="1"/>
  <c r="L334" i="15"/>
  <c r="O334" i="15" s="1"/>
  <c r="K385" i="15"/>
  <c r="O424" i="15"/>
  <c r="M634" i="15"/>
  <c r="M631" i="15" s="1"/>
  <c r="P631" i="15" s="1"/>
  <c r="L151" i="15"/>
  <c r="O151" i="15" s="1"/>
  <c r="L36" i="14"/>
  <c r="O36" i="14" s="1"/>
  <c r="L36" i="15"/>
  <c r="O36" i="15" s="1"/>
  <c r="I87" i="15"/>
  <c r="K87" i="15" s="1"/>
  <c r="L90" i="15"/>
  <c r="L88" i="15" s="1"/>
  <c r="K146" i="15"/>
  <c r="L187" i="15"/>
  <c r="O187" i="15" s="1"/>
  <c r="L421" i="15"/>
  <c r="L419" i="15" s="1"/>
  <c r="I654" i="13"/>
  <c r="N43" i="15"/>
  <c r="N41" i="15" s="1"/>
  <c r="P58" i="15"/>
  <c r="N167" i="15"/>
  <c r="N165" i="15" s="1"/>
  <c r="L209" i="15"/>
  <c r="O209" i="15" s="1"/>
  <c r="L249" i="15"/>
  <c r="O249" i="15" s="1"/>
  <c r="L788" i="15"/>
  <c r="O788" i="15" s="1"/>
  <c r="K821" i="15"/>
  <c r="K824" i="15"/>
  <c r="K827" i="15"/>
  <c r="I543" i="15"/>
  <c r="K543" i="15" s="1"/>
  <c r="K559" i="15"/>
  <c r="L321" i="14"/>
  <c r="O321" i="14" s="1"/>
  <c r="P397" i="14"/>
  <c r="N26" i="15"/>
  <c r="N24" i="15" s="1"/>
  <c r="N44" i="15"/>
  <c r="P44" i="15" s="1"/>
  <c r="O46" i="15"/>
  <c r="N59" i="15"/>
  <c r="O61" i="15"/>
  <c r="L134" i="15"/>
  <c r="O134" i="15" s="1"/>
  <c r="M151" i="15"/>
  <c r="P151" i="15" s="1"/>
  <c r="M155" i="15"/>
  <c r="P155" i="15" s="1"/>
  <c r="I208" i="15"/>
  <c r="K208" i="15" s="1"/>
  <c r="L238" i="15"/>
  <c r="L263" i="15"/>
  <c r="L261" i="15" s="1"/>
  <c r="O264" i="15"/>
  <c r="I297" i="15"/>
  <c r="K297" i="15" s="1"/>
  <c r="K381" i="15"/>
  <c r="N395" i="15"/>
  <c r="M408" i="15"/>
  <c r="P408" i="15" s="1"/>
  <c r="L469" i="15"/>
  <c r="L467" i="15" s="1"/>
  <c r="M472" i="15"/>
  <c r="M549" i="15"/>
  <c r="M547" i="15" s="1"/>
  <c r="P547" i="15" s="1"/>
  <c r="I86" i="14"/>
  <c r="K86" i="14" s="1"/>
  <c r="M321" i="14"/>
  <c r="P321" i="14" s="1"/>
  <c r="O353" i="14"/>
  <c r="K723" i="14"/>
  <c r="M134" i="15"/>
  <c r="M132" i="15" s="1"/>
  <c r="P132" i="15" s="1"/>
  <c r="M138" i="15"/>
  <c r="P138" i="15" s="1"/>
  <c r="O157" i="15"/>
  <c r="P168" i="15"/>
  <c r="I174" i="15"/>
  <c r="L228" i="15"/>
  <c r="N263" i="15"/>
  <c r="N261" i="15" s="1"/>
  <c r="L301" i="15"/>
  <c r="O301" i="15" s="1"/>
  <c r="L348" i="15"/>
  <c r="K362" i="15"/>
  <c r="K435" i="15"/>
  <c r="L547" i="15"/>
  <c r="O547" i="15" s="1"/>
  <c r="L263" i="13"/>
  <c r="L261" i="13" s="1"/>
  <c r="O186" i="14"/>
  <c r="L228" i="14"/>
  <c r="I443" i="14"/>
  <c r="K443" i="14" s="1"/>
  <c r="L33" i="15"/>
  <c r="O33" i="15" s="1"/>
  <c r="O140" i="15"/>
  <c r="M301" i="15"/>
  <c r="P301" i="15" s="1"/>
  <c r="O303" i="15"/>
  <c r="O320" i="15"/>
  <c r="L351" i="15"/>
  <c r="O351" i="15" s="1"/>
  <c r="K369" i="15"/>
  <c r="L405" i="15"/>
  <c r="O405" i="15" s="1"/>
  <c r="O431" i="15"/>
  <c r="L470" i="15"/>
  <c r="L555" i="15"/>
  <c r="O555" i="15" s="1"/>
  <c r="K576" i="15"/>
  <c r="O641" i="15"/>
  <c r="K651" i="15"/>
  <c r="K674" i="15"/>
  <c r="K822" i="15"/>
  <c r="K828" i="15"/>
  <c r="L347" i="13"/>
  <c r="L345" i="13" s="1"/>
  <c r="L405" i="14"/>
  <c r="O405" i="14" s="1"/>
  <c r="P91" i="15"/>
  <c r="O266" i="15"/>
  <c r="L304" i="15"/>
  <c r="O304" i="15" s="1"/>
  <c r="O323" i="15"/>
  <c r="J364" i="15"/>
  <c r="L392" i="15"/>
  <c r="O392" i="15" s="1"/>
  <c r="L446" i="15"/>
  <c r="O446" i="15" s="1"/>
  <c r="M56" i="15"/>
  <c r="P56" i="15" s="1"/>
  <c r="P285" i="15"/>
  <c r="M304" i="15"/>
  <c r="P304" i="15" s="1"/>
  <c r="P323" i="15"/>
  <c r="J327" i="15"/>
  <c r="K327" i="15" s="1"/>
  <c r="I364" i="15"/>
  <c r="K378" i="15"/>
  <c r="L404" i="15"/>
  <c r="L546" i="15"/>
  <c r="O546" i="15" s="1"/>
  <c r="L631" i="15"/>
  <c r="O631" i="15" s="1"/>
  <c r="K649" i="15"/>
  <c r="K675" i="15"/>
  <c r="K823" i="15"/>
  <c r="P19" i="15"/>
  <c r="O120" i="15"/>
  <c r="P807" i="15"/>
  <c r="M805" i="15"/>
  <c r="P805" i="15" s="1"/>
  <c r="M151" i="13"/>
  <c r="M149" i="13" s="1"/>
  <c r="I276" i="13"/>
  <c r="K276" i="13" s="1"/>
  <c r="P93" i="14"/>
  <c r="K176" i="14"/>
  <c r="N183" i="14"/>
  <c r="N181" i="14" s="1"/>
  <c r="M187" i="14"/>
  <c r="P187" i="14" s="1"/>
  <c r="L230" i="14"/>
  <c r="P264" i="14"/>
  <c r="M300" i="14"/>
  <c r="P300" i="14" s="1"/>
  <c r="N330" i="14"/>
  <c r="N328" i="14" s="1"/>
  <c r="K460" i="14"/>
  <c r="I442" i="14"/>
  <c r="K442" i="14" s="1"/>
  <c r="P12" i="15"/>
  <c r="M26" i="15"/>
  <c r="M24" i="15" s="1"/>
  <c r="M59" i="15"/>
  <c r="P59" i="15" s="1"/>
  <c r="N90" i="15"/>
  <c r="N88" i="15" s="1"/>
  <c r="P350" i="15"/>
  <c r="M348" i="15"/>
  <c r="M347" i="15"/>
  <c r="N134" i="14"/>
  <c r="N132" i="14" s="1"/>
  <c r="L231" i="14"/>
  <c r="M280" i="14"/>
  <c r="P280" i="14" s="1"/>
  <c r="M301" i="14"/>
  <c r="P301" i="14" s="1"/>
  <c r="M304" i="14"/>
  <c r="P304" i="14" s="1"/>
  <c r="L125" i="15"/>
  <c r="O125" i="15" s="1"/>
  <c r="O127" i="15"/>
  <c r="O133" i="15"/>
  <c r="N183" i="15"/>
  <c r="N181" i="15" s="1"/>
  <c r="N23" i="15"/>
  <c r="N21" i="15" s="1"/>
  <c r="M264" i="15"/>
  <c r="P264" i="15" s="1"/>
  <c r="P266" i="15"/>
  <c r="M263" i="15"/>
  <c r="O346" i="15"/>
  <c r="N300" i="13"/>
  <c r="N298" i="13" s="1"/>
  <c r="O306" i="13"/>
  <c r="L348" i="13"/>
  <c r="N90" i="14"/>
  <c r="N88" i="14" s="1"/>
  <c r="I216" i="14"/>
  <c r="K216" i="14" s="1"/>
  <c r="M29" i="15"/>
  <c r="I76" i="15"/>
  <c r="K80" i="15"/>
  <c r="P89" i="15"/>
  <c r="N184" i="15"/>
  <c r="O184" i="15" s="1"/>
  <c r="P333" i="15"/>
  <c r="M331" i="15"/>
  <c r="P331" i="15" s="1"/>
  <c r="M330" i="15"/>
  <c r="P266" i="12"/>
  <c r="K823" i="12"/>
  <c r="K826" i="12"/>
  <c r="K674" i="13"/>
  <c r="L122" i="14"/>
  <c r="O122" i="14" s="1"/>
  <c r="O154" i="14"/>
  <c r="M267" i="14"/>
  <c r="P267" i="14" s="1"/>
  <c r="N317" i="14"/>
  <c r="N315" i="14" s="1"/>
  <c r="N29" i="15"/>
  <c r="N28" i="15" s="1"/>
  <c r="N31" i="15"/>
  <c r="P46" i="15"/>
  <c r="M43" i="15"/>
  <c r="M23" i="15"/>
  <c r="I112" i="15"/>
  <c r="K112" i="15" s="1"/>
  <c r="O329" i="15"/>
  <c r="K828" i="13"/>
  <c r="P25" i="15"/>
  <c r="M15" i="15"/>
  <c r="P35" i="15"/>
  <c r="M34" i="15"/>
  <c r="P34" i="15" s="1"/>
  <c r="L72" i="15"/>
  <c r="O72" i="15" s="1"/>
  <c r="L26" i="15"/>
  <c r="O74" i="15"/>
  <c r="I364" i="14"/>
  <c r="K378" i="14"/>
  <c r="N404" i="14"/>
  <c r="N402" i="14" s="1"/>
  <c r="L33" i="14"/>
  <c r="O33" i="14" s="1"/>
  <c r="J721" i="14"/>
  <c r="K721" i="14" s="1"/>
  <c r="N12" i="15"/>
  <c r="N19" i="15"/>
  <c r="L23" i="15"/>
  <c r="L21" i="15" s="1"/>
  <c r="N34" i="15"/>
  <c r="L43" i="15"/>
  <c r="L41" i="15" s="1"/>
  <c r="P49" i="15"/>
  <c r="O56" i="15"/>
  <c r="O93" i="15"/>
  <c r="P96" i="15"/>
  <c r="M167" i="15"/>
  <c r="M165" i="15" s="1"/>
  <c r="P186" i="15"/>
  <c r="O262" i="15"/>
  <c r="K244" i="15"/>
  <c r="I237" i="15"/>
  <c r="I233" i="15"/>
  <c r="K233" i="15" s="1"/>
  <c r="K255" i="15"/>
  <c r="I248" i="15"/>
  <c r="K248" i="15" s="1"/>
  <c r="M318" i="15"/>
  <c r="P318" i="15" s="1"/>
  <c r="P320" i="15"/>
  <c r="M317" i="15"/>
  <c r="N30" i="15"/>
  <c r="L55" i="15"/>
  <c r="I86" i="15"/>
  <c r="K86" i="15" s="1"/>
  <c r="O170" i="15"/>
  <c r="N467" i="15"/>
  <c r="N414" i="15" s="1"/>
  <c r="O630" i="15"/>
  <c r="M55" i="15"/>
  <c r="L68" i="15"/>
  <c r="O68" i="15" s="1"/>
  <c r="P93" i="15"/>
  <c r="L121" i="15"/>
  <c r="O121" i="15" s="1"/>
  <c r="K145" i="15"/>
  <c r="I143" i="15"/>
  <c r="O186" i="15"/>
  <c r="P189" i="15"/>
  <c r="K726" i="14"/>
  <c r="K822" i="14"/>
  <c r="K825" i="14"/>
  <c r="K828" i="14"/>
  <c r="L12" i="15"/>
  <c r="L19" i="15"/>
  <c r="O42" i="15"/>
  <c r="O71" i="15"/>
  <c r="K79" i="15"/>
  <c r="I77" i="15"/>
  <c r="M90" i="15"/>
  <c r="M88" i="15" s="1"/>
  <c r="O124" i="15"/>
  <c r="P166" i="15"/>
  <c r="I190" i="15"/>
  <c r="K190" i="15" s="1"/>
  <c r="N279" i="15"/>
  <c r="N277" i="15" s="1"/>
  <c r="O316" i="15"/>
  <c r="K370" i="15"/>
  <c r="P504" i="15"/>
  <c r="M502" i="15"/>
  <c r="P502" i="15" s="1"/>
  <c r="J537" i="15"/>
  <c r="J522" i="15" s="1"/>
  <c r="O686" i="15"/>
  <c r="P771" i="15"/>
  <c r="M770" i="15"/>
  <c r="P770" i="15" s="1"/>
  <c r="P468" i="15"/>
  <c r="N470" i="15"/>
  <c r="P788" i="15"/>
  <c r="M786" i="15"/>
  <c r="P786" i="15" s="1"/>
  <c r="I785" i="15"/>
  <c r="K785" i="15" s="1"/>
  <c r="K800" i="15"/>
  <c r="O806" i="15"/>
  <c r="L805" i="15"/>
  <c r="O805" i="15" s="1"/>
  <c r="O503" i="15"/>
  <c r="L502" i="15"/>
  <c r="O502" i="15" s="1"/>
  <c r="P755" i="15"/>
  <c r="M754" i="15"/>
  <c r="P754" i="15" s="1"/>
  <c r="O787" i="15"/>
  <c r="P336" i="15"/>
  <c r="M334" i="15"/>
  <c r="P334" i="15" s="1"/>
  <c r="P353" i="15"/>
  <c r="M351" i="15"/>
  <c r="P351" i="15" s="1"/>
  <c r="K374" i="15"/>
  <c r="J433" i="15"/>
  <c r="K437" i="15"/>
  <c r="I442" i="15"/>
  <c r="K442" i="15" s="1"/>
  <c r="K460" i="15"/>
  <c r="O632" i="15"/>
  <c r="K288" i="15"/>
  <c r="J288" i="15"/>
  <c r="J275" i="15" s="1"/>
  <c r="I592" i="15"/>
  <c r="K592" i="15" s="1"/>
  <c r="K593" i="15"/>
  <c r="P687" i="15"/>
  <c r="M685" i="15"/>
  <c r="P685" i="15" s="1"/>
  <c r="P738" i="15"/>
  <c r="M737" i="15"/>
  <c r="P737" i="15" s="1"/>
  <c r="P303" i="15"/>
  <c r="J355" i="15"/>
  <c r="K355" i="15" s="1"/>
  <c r="M392" i="15"/>
  <c r="P392" i="15" s="1"/>
  <c r="M395" i="15"/>
  <c r="P395" i="15" s="1"/>
  <c r="I434" i="15"/>
  <c r="I443" i="15"/>
  <c r="K443" i="15" s="1"/>
  <c r="L447" i="15"/>
  <c r="O447" i="15" s="1"/>
  <c r="L454" i="15"/>
  <c r="O454" i="15" s="1"/>
  <c r="L533" i="15"/>
  <c r="O533" i="15" s="1"/>
  <c r="I654" i="15"/>
  <c r="K654" i="15" s="1"/>
  <c r="L658" i="15"/>
  <c r="O658" i="15" s="1"/>
  <c r="O791" i="15"/>
  <c r="M449" i="15"/>
  <c r="L525" i="15"/>
  <c r="I628" i="15"/>
  <c r="K628" i="15" s="1"/>
  <c r="K672" i="15"/>
  <c r="L688" i="15"/>
  <c r="O688" i="15" s="1"/>
  <c r="K669" i="15"/>
  <c r="L687" i="15"/>
  <c r="O687" i="15" s="1"/>
  <c r="K143" i="14"/>
  <c r="I131" i="14"/>
  <c r="K131" i="14" s="1"/>
  <c r="O91" i="14"/>
  <c r="M121" i="14"/>
  <c r="P121" i="14" s="1"/>
  <c r="K309" i="12"/>
  <c r="O353" i="13"/>
  <c r="L657" i="13"/>
  <c r="O657" i="13" s="1"/>
  <c r="M43" i="14"/>
  <c r="M41" i="14" s="1"/>
  <c r="K145" i="14"/>
  <c r="M151" i="14"/>
  <c r="M149" i="14" s="1"/>
  <c r="N184" i="14"/>
  <c r="P184" i="14" s="1"/>
  <c r="K244" i="14"/>
  <c r="L304" i="14"/>
  <c r="O304" i="14" s="1"/>
  <c r="L318" i="14"/>
  <c r="O318" i="14" s="1"/>
  <c r="P333" i="14"/>
  <c r="K385" i="14"/>
  <c r="N405" i="14"/>
  <c r="I433" i="14"/>
  <c r="I417" i="14" s="1"/>
  <c r="M472" i="14"/>
  <c r="M469" i="14" s="1"/>
  <c r="M467" i="14" s="1"/>
  <c r="I87" i="8"/>
  <c r="K87" i="8" s="1"/>
  <c r="M171" i="13"/>
  <c r="P171" i="13" s="1"/>
  <c r="L47" i="14"/>
  <c r="O47" i="14" s="1"/>
  <c r="L55" i="14"/>
  <c r="L53" i="14" s="1"/>
  <c r="M122" i="14"/>
  <c r="P122" i="14" s="1"/>
  <c r="M125" i="14"/>
  <c r="P125" i="14" s="1"/>
  <c r="P127" i="14"/>
  <c r="M155" i="14"/>
  <c r="P155" i="14" s="1"/>
  <c r="M391" i="14"/>
  <c r="P391" i="14" s="1"/>
  <c r="P394" i="14"/>
  <c r="L421" i="14"/>
  <c r="L419" i="14" s="1"/>
  <c r="O419" i="14" s="1"/>
  <c r="O634" i="14"/>
  <c r="L687" i="14"/>
  <c r="L685" i="14" s="1"/>
  <c r="O685" i="14" s="1"/>
  <c r="M90" i="13"/>
  <c r="M88" i="13" s="1"/>
  <c r="M47" i="14"/>
  <c r="P47" i="14" s="1"/>
  <c r="O58" i="14"/>
  <c r="L69" i="14"/>
  <c r="O69" i="14" s="1"/>
  <c r="M94" i="14"/>
  <c r="P94" i="14" s="1"/>
  <c r="K99" i="14"/>
  <c r="K174" i="14"/>
  <c r="M263" i="14"/>
  <c r="M261" i="14" s="1"/>
  <c r="L470" i="14"/>
  <c r="L469" i="14"/>
  <c r="O469" i="14" s="1"/>
  <c r="K594" i="14"/>
  <c r="L631" i="14"/>
  <c r="O631" i="14" s="1"/>
  <c r="K823" i="14"/>
  <c r="K826" i="14"/>
  <c r="M43" i="13"/>
  <c r="M41" i="13" s="1"/>
  <c r="N55" i="14"/>
  <c r="M69" i="14"/>
  <c r="P69" i="14" s="1"/>
  <c r="M72" i="14"/>
  <c r="P72" i="14" s="1"/>
  <c r="O96" i="14"/>
  <c r="M135" i="14"/>
  <c r="P135" i="14" s="1"/>
  <c r="M138" i="14"/>
  <c r="P138" i="14" s="1"/>
  <c r="I233" i="14"/>
  <c r="K233" i="14" s="1"/>
  <c r="L300" i="14"/>
  <c r="L298" i="14" s="1"/>
  <c r="O298" i="14" s="1"/>
  <c r="O350" i="14"/>
  <c r="L43" i="14"/>
  <c r="L301" i="14"/>
  <c r="O301" i="14" s="1"/>
  <c r="P331" i="14"/>
  <c r="K340" i="14"/>
  <c r="K673" i="14"/>
  <c r="K821" i="14"/>
  <c r="K824" i="14"/>
  <c r="K827" i="14"/>
  <c r="O168" i="14"/>
  <c r="L68" i="13"/>
  <c r="L66" i="13" s="1"/>
  <c r="M279" i="13"/>
  <c r="P279" i="13" s="1"/>
  <c r="N44" i="14"/>
  <c r="P44" i="14" s="1"/>
  <c r="P46" i="14"/>
  <c r="M68" i="14"/>
  <c r="I77" i="14"/>
  <c r="I65" i="14" s="1"/>
  <c r="K65" i="14" s="1"/>
  <c r="L125" i="14"/>
  <c r="O125" i="14" s="1"/>
  <c r="L135" i="14"/>
  <c r="O135" i="14" s="1"/>
  <c r="P154" i="14"/>
  <c r="N167" i="14"/>
  <c r="N165" i="14" s="1"/>
  <c r="P170" i="14"/>
  <c r="L264" i="14"/>
  <c r="O264" i="14" s="1"/>
  <c r="P266" i="14"/>
  <c r="O303" i="14"/>
  <c r="L331" i="14"/>
  <c r="O331" i="14" s="1"/>
  <c r="O336" i="14"/>
  <c r="N351" i="14"/>
  <c r="O351" i="14" s="1"/>
  <c r="K355" i="14"/>
  <c r="K374" i="14"/>
  <c r="N391" i="14"/>
  <c r="N389" i="14" s="1"/>
  <c r="L395" i="14"/>
  <c r="O395" i="14" s="1"/>
  <c r="O424" i="14"/>
  <c r="K87" i="12"/>
  <c r="L229" i="13"/>
  <c r="K87" i="14"/>
  <c r="M91" i="14"/>
  <c r="P91" i="14" s="1"/>
  <c r="I148" i="14"/>
  <c r="K148" i="14" s="1"/>
  <c r="L152" i="14"/>
  <c r="O152" i="14" s="1"/>
  <c r="K164" i="14"/>
  <c r="P168" i="14"/>
  <c r="M408" i="14"/>
  <c r="P408" i="14" s="1"/>
  <c r="L279" i="13"/>
  <c r="O279" i="13" s="1"/>
  <c r="I76" i="14"/>
  <c r="K76" i="14" s="1"/>
  <c r="P152" i="14"/>
  <c r="L155" i="14"/>
  <c r="O155" i="14" s="1"/>
  <c r="O173" i="14"/>
  <c r="L183" i="14"/>
  <c r="L181" i="14" s="1"/>
  <c r="O189" i="14"/>
  <c r="K215" i="14"/>
  <c r="L217" i="14"/>
  <c r="O217" i="14" s="1"/>
  <c r="L238" i="14"/>
  <c r="O238" i="14" s="1"/>
  <c r="L249" i="14"/>
  <c r="O249" i="14" s="1"/>
  <c r="N279" i="14"/>
  <c r="N277" i="14" s="1"/>
  <c r="P320" i="14"/>
  <c r="O333" i="14"/>
  <c r="L347" i="14"/>
  <c r="L345" i="14" s="1"/>
  <c r="L392" i="14"/>
  <c r="O392" i="14" s="1"/>
  <c r="O266" i="13"/>
  <c r="J537" i="13"/>
  <c r="J522" i="13" s="1"/>
  <c r="L23" i="14"/>
  <c r="L21" i="14" s="1"/>
  <c r="O46" i="14"/>
  <c r="N26" i="14"/>
  <c r="N16" i="14" s="1"/>
  <c r="N14" i="14" s="1"/>
  <c r="L526" i="14"/>
  <c r="O526" i="14" s="1"/>
  <c r="O528" i="14"/>
  <c r="L525" i="14"/>
  <c r="P331" i="12"/>
  <c r="I364" i="12"/>
  <c r="K379" i="12"/>
  <c r="N43" i="13"/>
  <c r="N41" i="13" s="1"/>
  <c r="L217" i="13"/>
  <c r="O217" i="13" s="1"/>
  <c r="L392" i="13"/>
  <c r="O392" i="13" s="1"/>
  <c r="K673" i="13"/>
  <c r="M23" i="14"/>
  <c r="M21" i="14" s="1"/>
  <c r="L44" i="14"/>
  <c r="N56" i="14"/>
  <c r="O56" i="14" s="1"/>
  <c r="N59" i="14"/>
  <c r="O59" i="14" s="1"/>
  <c r="M134" i="14"/>
  <c r="P134" i="14" s="1"/>
  <c r="I190" i="14"/>
  <c r="K190" i="14" s="1"/>
  <c r="M317" i="14"/>
  <c r="M315" i="14" s="1"/>
  <c r="P315" i="14" s="1"/>
  <c r="K381" i="14"/>
  <c r="L391" i="14"/>
  <c r="O391" i="14" s="1"/>
  <c r="K669" i="14"/>
  <c r="L789" i="14"/>
  <c r="O789" i="14" s="1"/>
  <c r="J537" i="14"/>
  <c r="J522" i="14" s="1"/>
  <c r="K700" i="14"/>
  <c r="K725" i="14"/>
  <c r="O15" i="14"/>
  <c r="P120" i="14"/>
  <c r="P807" i="14"/>
  <c r="M805" i="14"/>
  <c r="P805" i="14" s="1"/>
  <c r="P137" i="12"/>
  <c r="P152" i="12"/>
  <c r="N55" i="13"/>
  <c r="N53" i="13" s="1"/>
  <c r="L280" i="13"/>
  <c r="O280" i="13" s="1"/>
  <c r="L421" i="13"/>
  <c r="L419" i="13" s="1"/>
  <c r="I434" i="13"/>
  <c r="O449" i="13"/>
  <c r="K708" i="13"/>
  <c r="K729" i="13"/>
  <c r="K822" i="13"/>
  <c r="N12" i="14"/>
  <c r="L138" i="14"/>
  <c r="O138" i="14" s="1"/>
  <c r="P186" i="14"/>
  <c r="M183" i="14"/>
  <c r="J288" i="14"/>
  <c r="J275" i="14" s="1"/>
  <c r="I275" i="14"/>
  <c r="K275" i="14" s="1"/>
  <c r="K288" i="14"/>
  <c r="N301" i="14"/>
  <c r="N300" i="14"/>
  <c r="N298" i="14" s="1"/>
  <c r="I297" i="14"/>
  <c r="K297" i="14" s="1"/>
  <c r="K309" i="14"/>
  <c r="O410" i="14"/>
  <c r="L404" i="14"/>
  <c r="L408" i="14"/>
  <c r="O408" i="14" s="1"/>
  <c r="M68" i="13"/>
  <c r="M66" i="13" s="1"/>
  <c r="I148" i="13"/>
  <c r="K148" i="13" s="1"/>
  <c r="O170" i="13"/>
  <c r="M280" i="13"/>
  <c r="P280" i="13" s="1"/>
  <c r="P282" i="13"/>
  <c r="L422" i="13"/>
  <c r="O29" i="14"/>
  <c r="O35" i="14"/>
  <c r="M56" i="14"/>
  <c r="P58" i="14"/>
  <c r="M59" i="14"/>
  <c r="M26" i="14"/>
  <c r="P61" i="14"/>
  <c r="P346" i="14"/>
  <c r="I442" i="12"/>
  <c r="K442" i="12" s="1"/>
  <c r="L43" i="13"/>
  <c r="L41" i="13" s="1"/>
  <c r="N68" i="13"/>
  <c r="N66" i="13" s="1"/>
  <c r="P93" i="13"/>
  <c r="L121" i="13"/>
  <c r="O121" i="13" s="1"/>
  <c r="L446" i="13"/>
  <c r="O446" i="13" s="1"/>
  <c r="N31" i="14"/>
  <c r="J143" i="14"/>
  <c r="J131" i="14" s="1"/>
  <c r="K144" i="14"/>
  <c r="O316" i="14"/>
  <c r="I314" i="14"/>
  <c r="K314" i="14" s="1"/>
  <c r="K325" i="14"/>
  <c r="O390" i="14"/>
  <c r="O152" i="13"/>
  <c r="O186" i="13"/>
  <c r="K594" i="13"/>
  <c r="J721" i="13"/>
  <c r="K721" i="13" s="1"/>
  <c r="K824" i="13"/>
  <c r="O54" i="14"/>
  <c r="O74" i="14"/>
  <c r="L68" i="14"/>
  <c r="O68" i="14" s="1"/>
  <c r="K116" i="14"/>
  <c r="I112" i="14"/>
  <c r="K112" i="14" s="1"/>
  <c r="P150" i="14"/>
  <c r="M171" i="14"/>
  <c r="P171" i="14" s="1"/>
  <c r="M283" i="14"/>
  <c r="P283" i="14" s="1"/>
  <c r="N90" i="13"/>
  <c r="N88" i="13" s="1"/>
  <c r="O22" i="14"/>
  <c r="L19" i="14"/>
  <c r="L12" i="14"/>
  <c r="K237" i="14"/>
  <c r="I226" i="14"/>
  <c r="K226" i="14" s="1"/>
  <c r="P390" i="14"/>
  <c r="J433" i="14"/>
  <c r="J417" i="14" s="1"/>
  <c r="K439" i="14"/>
  <c r="O503" i="14"/>
  <c r="L502" i="14"/>
  <c r="O502" i="14" s="1"/>
  <c r="P738" i="14"/>
  <c r="M737" i="14"/>
  <c r="P737" i="14" s="1"/>
  <c r="P771" i="14"/>
  <c r="M770" i="14"/>
  <c r="P770" i="14" s="1"/>
  <c r="P788" i="14"/>
  <c r="M786" i="14"/>
  <c r="P786" i="14" s="1"/>
  <c r="N23" i="14"/>
  <c r="N21" i="14" s="1"/>
  <c r="O61" i="14"/>
  <c r="K204" i="14"/>
  <c r="I197" i="14"/>
  <c r="K197" i="14" s="1"/>
  <c r="K225" i="14"/>
  <c r="O266" i="14"/>
  <c r="K271" i="14"/>
  <c r="O285" i="14"/>
  <c r="K370" i="14"/>
  <c r="P503" i="14"/>
  <c r="M502" i="14"/>
  <c r="P502" i="14" s="1"/>
  <c r="L26" i="14"/>
  <c r="M34" i="14"/>
  <c r="P34" i="14" s="1"/>
  <c r="K78" i="14"/>
  <c r="L90" i="14"/>
  <c r="L121" i="14"/>
  <c r="L151" i="14"/>
  <c r="L167" i="14"/>
  <c r="N263" i="14"/>
  <c r="L279" i="14"/>
  <c r="O279" i="14" s="1"/>
  <c r="O468" i="14"/>
  <c r="L658" i="14"/>
  <c r="O658" i="14" s="1"/>
  <c r="O660" i="14"/>
  <c r="M660" i="14"/>
  <c r="L657" i="14"/>
  <c r="N68" i="14"/>
  <c r="N66" i="14" s="1"/>
  <c r="M90" i="14"/>
  <c r="O93" i="14"/>
  <c r="L134" i="14"/>
  <c r="M167" i="14"/>
  <c r="O170" i="14"/>
  <c r="L198" i="14"/>
  <c r="O198" i="14" s="1"/>
  <c r="M279" i="14"/>
  <c r="O282" i="14"/>
  <c r="L317" i="14"/>
  <c r="O317" i="14" s="1"/>
  <c r="P336" i="14"/>
  <c r="N347" i="14"/>
  <c r="P353" i="14"/>
  <c r="P403" i="14"/>
  <c r="M422" i="14"/>
  <c r="P422" i="14" s="1"/>
  <c r="P424" i="14"/>
  <c r="M421" i="14"/>
  <c r="P421" i="14" s="1"/>
  <c r="L447" i="14"/>
  <c r="O447" i="14" s="1"/>
  <c r="O449" i="14"/>
  <c r="L446" i="14"/>
  <c r="P468" i="14"/>
  <c r="M12" i="14"/>
  <c r="M19" i="14"/>
  <c r="N121" i="14"/>
  <c r="N119" i="14" s="1"/>
  <c r="N151" i="14"/>
  <c r="L209" i="14"/>
  <c r="O209" i="14" s="1"/>
  <c r="J327" i="14"/>
  <c r="K327" i="14" s="1"/>
  <c r="O348" i="14"/>
  <c r="M348" i="14"/>
  <c r="P348" i="14" s="1"/>
  <c r="P350" i="14"/>
  <c r="M347" i="14"/>
  <c r="L547" i="14"/>
  <c r="O547" i="14" s="1"/>
  <c r="O549" i="14"/>
  <c r="M549" i="14"/>
  <c r="L555" i="14"/>
  <c r="O555" i="14" s="1"/>
  <c r="O557" i="14"/>
  <c r="I559" i="14"/>
  <c r="K576" i="14"/>
  <c r="K359" i="14"/>
  <c r="M405" i="14"/>
  <c r="P405" i="14" s="1"/>
  <c r="N467" i="14"/>
  <c r="N414" i="14" s="1"/>
  <c r="N470" i="14"/>
  <c r="P555" i="14"/>
  <c r="M545" i="14"/>
  <c r="O787" i="14"/>
  <c r="L786" i="14"/>
  <c r="O786" i="14" s="1"/>
  <c r="I785" i="14"/>
  <c r="K785" i="14" s="1"/>
  <c r="K800" i="14"/>
  <c r="O806" i="14"/>
  <c r="L805" i="14"/>
  <c r="O805" i="14" s="1"/>
  <c r="I628" i="14"/>
  <c r="K628" i="14" s="1"/>
  <c r="K651" i="14"/>
  <c r="M404" i="14"/>
  <c r="P404" i="14" s="1"/>
  <c r="O472" i="14"/>
  <c r="P630" i="14"/>
  <c r="M629" i="14"/>
  <c r="P629" i="14" s="1"/>
  <c r="P755" i="14"/>
  <c r="M754" i="14"/>
  <c r="P754" i="14" s="1"/>
  <c r="N805" i="14"/>
  <c r="M330" i="14"/>
  <c r="K362" i="14"/>
  <c r="J364" i="14"/>
  <c r="K379" i="14"/>
  <c r="I434" i="14"/>
  <c r="P686" i="14"/>
  <c r="N789" i="14"/>
  <c r="I522" i="14"/>
  <c r="K522" i="14" s="1"/>
  <c r="P524" i="14"/>
  <c r="K675" i="14"/>
  <c r="K672" i="14"/>
  <c r="L688" i="14"/>
  <c r="O688" i="14" s="1"/>
  <c r="M690" i="14"/>
  <c r="I654" i="14"/>
  <c r="K654" i="14" s="1"/>
  <c r="M422" i="13"/>
  <c r="M421" i="13"/>
  <c r="M419" i="13" s="1"/>
  <c r="L26" i="13"/>
  <c r="L24" i="13" s="1"/>
  <c r="N351" i="13"/>
  <c r="O351" i="13" s="1"/>
  <c r="O456" i="13"/>
  <c r="K539" i="13"/>
  <c r="M549" i="13"/>
  <c r="M546" i="13" s="1"/>
  <c r="P546" i="13" s="1"/>
  <c r="K720" i="13"/>
  <c r="K725" i="13"/>
  <c r="O154" i="12"/>
  <c r="M334" i="12"/>
  <c r="P334" i="12" s="1"/>
  <c r="O71" i="13"/>
  <c r="L184" i="13"/>
  <c r="O184" i="13" s="1"/>
  <c r="L187" i="13"/>
  <c r="O187" i="13" s="1"/>
  <c r="K224" i="13"/>
  <c r="L230" i="13"/>
  <c r="N264" i="13"/>
  <c r="O264" i="13" s="1"/>
  <c r="O301" i="13"/>
  <c r="J327" i="13"/>
  <c r="K327" i="13" s="1"/>
  <c r="J364" i="13"/>
  <c r="L547" i="13"/>
  <c r="O547" i="13" s="1"/>
  <c r="I86" i="12"/>
  <c r="K86" i="12" s="1"/>
  <c r="M318" i="12"/>
  <c r="P318" i="12" s="1"/>
  <c r="L55" i="13"/>
  <c r="L135" i="13"/>
  <c r="O135" i="13" s="1"/>
  <c r="L138" i="13"/>
  <c r="O138" i="13" s="1"/>
  <c r="L209" i="13"/>
  <c r="O209" i="13" s="1"/>
  <c r="J288" i="13"/>
  <c r="J275" i="13" s="1"/>
  <c r="N317" i="13"/>
  <c r="N315" i="13" s="1"/>
  <c r="K385" i="13"/>
  <c r="O634" i="13"/>
  <c r="O91" i="13"/>
  <c r="M121" i="13"/>
  <c r="P121" i="13" s="1"/>
  <c r="N168" i="13"/>
  <c r="L171" i="13"/>
  <c r="O171" i="13" s="1"/>
  <c r="L198" i="13"/>
  <c r="O198" i="13" s="1"/>
  <c r="K537" i="13"/>
  <c r="L631" i="13"/>
  <c r="O631" i="13" s="1"/>
  <c r="P350" i="12"/>
  <c r="L122" i="13"/>
  <c r="O122" i="13" s="1"/>
  <c r="K821" i="13"/>
  <c r="P407" i="13"/>
  <c r="M405" i="13"/>
  <c r="P405" i="13" s="1"/>
  <c r="O690" i="13"/>
  <c r="L688" i="13"/>
  <c r="O688" i="13" s="1"/>
  <c r="L217" i="12"/>
  <c r="O217" i="12" s="1"/>
  <c r="M392" i="12"/>
  <c r="P392" i="12" s="1"/>
  <c r="L23" i="13"/>
  <c r="O46" i="13"/>
  <c r="P69" i="13"/>
  <c r="L134" i="13"/>
  <c r="L168" i="13"/>
  <c r="P170" i="13"/>
  <c r="M167" i="13"/>
  <c r="M187" i="13"/>
  <c r="P187" i="13" s="1"/>
  <c r="K193" i="13"/>
  <c r="M351" i="13"/>
  <c r="M347" i="13"/>
  <c r="M345" i="13" s="1"/>
  <c r="K460" i="13"/>
  <c r="L687" i="13"/>
  <c r="L685" i="13" s="1"/>
  <c r="O685" i="13" s="1"/>
  <c r="M690" i="13"/>
  <c r="I364" i="11"/>
  <c r="L334" i="12"/>
  <c r="O334" i="12" s="1"/>
  <c r="M395" i="12"/>
  <c r="P395" i="12" s="1"/>
  <c r="O634" i="12"/>
  <c r="J722" i="12"/>
  <c r="K722" i="12" s="1"/>
  <c r="P44" i="13"/>
  <c r="M26" i="13"/>
  <c r="M24" i="13" s="1"/>
  <c r="N56" i="13"/>
  <c r="P56" i="13" s="1"/>
  <c r="O58" i="13"/>
  <c r="L94" i="13"/>
  <c r="O94" i="13" s="1"/>
  <c r="N26" i="13"/>
  <c r="N16" i="13" s="1"/>
  <c r="N14" i="13" s="1"/>
  <c r="N121" i="13"/>
  <c r="N119" i="13" s="1"/>
  <c r="M134" i="13"/>
  <c r="P134" i="13" s="1"/>
  <c r="L151" i="13"/>
  <c r="L149" i="13" s="1"/>
  <c r="M168" i="13"/>
  <c r="O269" i="13"/>
  <c r="L267" i="13"/>
  <c r="O267" i="13" s="1"/>
  <c r="N280" i="13"/>
  <c r="N279" i="13"/>
  <c r="N277" i="13" s="1"/>
  <c r="P285" i="13"/>
  <c r="M283" i="13"/>
  <c r="P283" i="13" s="1"/>
  <c r="O323" i="13"/>
  <c r="L321" i="13"/>
  <c r="O321" i="13" s="1"/>
  <c r="L330" i="13"/>
  <c r="L328" i="13" s="1"/>
  <c r="O333" i="13"/>
  <c r="N404" i="13"/>
  <c r="N402" i="13" s="1"/>
  <c r="L477" i="13"/>
  <c r="O477" i="13" s="1"/>
  <c r="L469" i="13"/>
  <c r="L631" i="12"/>
  <c r="O631" i="12" s="1"/>
  <c r="P58" i="13"/>
  <c r="O157" i="13"/>
  <c r="O320" i="13"/>
  <c r="L318" i="13"/>
  <c r="O318" i="13" s="1"/>
  <c r="M330" i="13"/>
  <c r="M328" i="13" s="1"/>
  <c r="O397" i="13"/>
  <c r="L391" i="13"/>
  <c r="L395" i="13"/>
  <c r="O395" i="13" s="1"/>
  <c r="J722" i="13"/>
  <c r="K722" i="13" s="1"/>
  <c r="P93" i="12"/>
  <c r="P184" i="12"/>
  <c r="O351" i="12"/>
  <c r="L33" i="13"/>
  <c r="L31" i="13" s="1"/>
  <c r="O31" i="13" s="1"/>
  <c r="L36" i="13"/>
  <c r="M55" i="13"/>
  <c r="O61" i="13"/>
  <c r="L125" i="13"/>
  <c r="O125" i="13" s="1"/>
  <c r="M135" i="13"/>
  <c r="P135" i="13" s="1"/>
  <c r="N135" i="13"/>
  <c r="N134" i="13"/>
  <c r="N132" i="13" s="1"/>
  <c r="P140" i="13"/>
  <c r="M138" i="13"/>
  <c r="P138" i="13" s="1"/>
  <c r="M183" i="13"/>
  <c r="P186" i="13"/>
  <c r="M184" i="13"/>
  <c r="P184" i="13" s="1"/>
  <c r="K204" i="13"/>
  <c r="I197" i="13"/>
  <c r="K197" i="13" s="1"/>
  <c r="P266" i="13"/>
  <c r="L283" i="13"/>
  <c r="O283" i="13" s="1"/>
  <c r="L317" i="13"/>
  <c r="K340" i="13"/>
  <c r="M392" i="13"/>
  <c r="P392" i="13" s="1"/>
  <c r="P394" i="13"/>
  <c r="L408" i="13"/>
  <c r="O408" i="13" s="1"/>
  <c r="O410" i="13"/>
  <c r="O641" i="13"/>
  <c r="M69" i="12"/>
  <c r="P69" i="12" s="1"/>
  <c r="L72" i="12"/>
  <c r="O72" i="12" s="1"/>
  <c r="O137" i="12"/>
  <c r="O331" i="12"/>
  <c r="P351" i="12"/>
  <c r="M408" i="12"/>
  <c r="P408" i="12" s="1"/>
  <c r="L421" i="12"/>
  <c r="O421" i="12" s="1"/>
  <c r="I443" i="12"/>
  <c r="K443" i="12" s="1"/>
  <c r="P61" i="13"/>
  <c r="I86" i="13"/>
  <c r="K86" i="13" s="1"/>
  <c r="L90" i="13"/>
  <c r="O93" i="13"/>
  <c r="I130" i="13"/>
  <c r="K130" i="13" s="1"/>
  <c r="L167" i="13"/>
  <c r="I174" i="13"/>
  <c r="N183" i="13"/>
  <c r="N181" i="13" s="1"/>
  <c r="L300" i="13"/>
  <c r="O303" i="13"/>
  <c r="K309" i="13"/>
  <c r="I297" i="13"/>
  <c r="K297" i="13" s="1"/>
  <c r="M317" i="13"/>
  <c r="P317" i="13" s="1"/>
  <c r="O336" i="13"/>
  <c r="L334" i="13"/>
  <c r="O334" i="13" s="1"/>
  <c r="I364" i="13"/>
  <c r="K364" i="13" s="1"/>
  <c r="K823" i="13"/>
  <c r="K826" i="13"/>
  <c r="O154" i="13"/>
  <c r="L231" i="13"/>
  <c r="M263" i="13"/>
  <c r="N151" i="13"/>
  <c r="N391" i="13"/>
  <c r="N389" i="13" s="1"/>
  <c r="K827" i="13"/>
  <c r="K338" i="13"/>
  <c r="K700" i="13"/>
  <c r="K825" i="13"/>
  <c r="L72" i="11"/>
  <c r="O72" i="11" s="1"/>
  <c r="I148" i="11"/>
  <c r="K148" i="11" s="1"/>
  <c r="I297" i="11"/>
  <c r="K297" i="11" s="1"/>
  <c r="I443" i="11"/>
  <c r="K443" i="11" s="1"/>
  <c r="M121" i="12"/>
  <c r="M119" i="12" s="1"/>
  <c r="P119" i="12" s="1"/>
  <c r="O186" i="12"/>
  <c r="K224" i="12"/>
  <c r="N279" i="12"/>
  <c r="N277" i="12" s="1"/>
  <c r="L330" i="12"/>
  <c r="L328" i="12" s="1"/>
  <c r="N167" i="10"/>
  <c r="N165" i="10" s="1"/>
  <c r="L229" i="11"/>
  <c r="I248" i="11"/>
  <c r="K248" i="11" s="1"/>
  <c r="O58" i="12"/>
  <c r="M122" i="12"/>
  <c r="P122" i="12" s="1"/>
  <c r="M183" i="12"/>
  <c r="M181" i="12" s="1"/>
  <c r="K193" i="12"/>
  <c r="K360" i="12"/>
  <c r="K365" i="12"/>
  <c r="K385" i="12"/>
  <c r="K728" i="12"/>
  <c r="P58" i="12"/>
  <c r="L69" i="12"/>
  <c r="O69" i="12" s="1"/>
  <c r="M187" i="12"/>
  <c r="P187" i="12" s="1"/>
  <c r="K378" i="12"/>
  <c r="K381" i="12"/>
  <c r="K821" i="12"/>
  <c r="K824" i="12"/>
  <c r="K143" i="13"/>
  <c r="I131" i="13"/>
  <c r="K131" i="13" s="1"/>
  <c r="N263" i="10"/>
  <c r="N261" i="10" s="1"/>
  <c r="L55" i="12"/>
  <c r="L53" i="12" s="1"/>
  <c r="M72" i="12"/>
  <c r="P72" i="12" s="1"/>
  <c r="N134" i="12"/>
  <c r="N132" i="12" s="1"/>
  <c r="L230" i="12"/>
  <c r="N12" i="13"/>
  <c r="N19" i="13"/>
  <c r="O42" i="13"/>
  <c r="P46" i="13"/>
  <c r="P49" i="13"/>
  <c r="O67" i="13"/>
  <c r="P71" i="13"/>
  <c r="P74" i="13"/>
  <c r="I87" i="13"/>
  <c r="K87" i="13" s="1"/>
  <c r="P89" i="13"/>
  <c r="P120" i="13"/>
  <c r="K244" i="13"/>
  <c r="I237" i="13"/>
  <c r="I233" i="13"/>
  <c r="K233" i="13" s="1"/>
  <c r="K255" i="13"/>
  <c r="I248" i="13"/>
  <c r="K248" i="13" s="1"/>
  <c r="O346" i="13"/>
  <c r="N348" i="13"/>
  <c r="P350" i="13"/>
  <c r="O350" i="13"/>
  <c r="N347" i="13"/>
  <c r="P468" i="13"/>
  <c r="M467" i="13"/>
  <c r="P467" i="13" s="1"/>
  <c r="M23" i="13"/>
  <c r="L44" i="13"/>
  <c r="O44" i="13" s="1"/>
  <c r="L47" i="13"/>
  <c r="O47" i="13" s="1"/>
  <c r="L69" i="13"/>
  <c r="O69" i="13" s="1"/>
  <c r="L72" i="13"/>
  <c r="O72" i="13" s="1"/>
  <c r="I76" i="13"/>
  <c r="M91" i="13"/>
  <c r="P91" i="13" s="1"/>
  <c r="M94" i="13"/>
  <c r="P94" i="13" s="1"/>
  <c r="M122" i="13"/>
  <c r="P122" i="13" s="1"/>
  <c r="M125" i="13"/>
  <c r="P125" i="13" s="1"/>
  <c r="K145" i="13"/>
  <c r="J669" i="13"/>
  <c r="K675" i="13"/>
  <c r="P686" i="13"/>
  <c r="N23" i="13"/>
  <c r="M47" i="13"/>
  <c r="P47" i="13" s="1"/>
  <c r="N94" i="13"/>
  <c r="I112" i="13"/>
  <c r="K112" i="13" s="1"/>
  <c r="L238" i="13"/>
  <c r="L228" i="13"/>
  <c r="L249" i="13"/>
  <c r="O249" i="13" s="1"/>
  <c r="M304" i="13"/>
  <c r="P304" i="13" s="1"/>
  <c r="P306" i="13"/>
  <c r="L405" i="13"/>
  <c r="O405" i="13" s="1"/>
  <c r="O407" i="13"/>
  <c r="L404" i="13"/>
  <c r="O404" i="13" s="1"/>
  <c r="O787" i="13"/>
  <c r="L786" i="13"/>
  <c r="O786" i="13" s="1"/>
  <c r="P154" i="13"/>
  <c r="M152" i="13"/>
  <c r="P152" i="13" s="1"/>
  <c r="P410" i="13"/>
  <c r="M408" i="13"/>
  <c r="P408" i="13" s="1"/>
  <c r="M404" i="13"/>
  <c r="N422" i="13"/>
  <c r="P424" i="13"/>
  <c r="O424" i="13"/>
  <c r="N421" i="13"/>
  <c r="J433" i="13"/>
  <c r="J417" i="13" s="1"/>
  <c r="K435" i="13"/>
  <c r="I433" i="13"/>
  <c r="L19" i="13"/>
  <c r="I77" i="13"/>
  <c r="P278" i="13"/>
  <c r="I314" i="13"/>
  <c r="K314" i="13" s="1"/>
  <c r="O420" i="13"/>
  <c r="J592" i="13"/>
  <c r="K593" i="13"/>
  <c r="P133" i="13"/>
  <c r="J143" i="13"/>
  <c r="J131" i="13" s="1"/>
  <c r="K144" i="13"/>
  <c r="P150" i="13"/>
  <c r="P157" i="13"/>
  <c r="M155" i="13"/>
  <c r="P155" i="13" s="1"/>
  <c r="O262" i="13"/>
  <c r="P269" i="13"/>
  <c r="O299" i="13"/>
  <c r="M301" i="13"/>
  <c r="P301" i="13" s="1"/>
  <c r="P303" i="13"/>
  <c r="N447" i="13"/>
  <c r="O503" i="13"/>
  <c r="L502" i="13"/>
  <c r="O502" i="13" s="1"/>
  <c r="O738" i="13"/>
  <c r="L737" i="13"/>
  <c r="O737" i="13" s="1"/>
  <c r="O166" i="13"/>
  <c r="M318" i="13"/>
  <c r="P318" i="13" s="1"/>
  <c r="M321" i="13"/>
  <c r="P321" i="13" s="1"/>
  <c r="P353" i="13"/>
  <c r="N467" i="13"/>
  <c r="L470" i="13"/>
  <c r="O470" i="13" s="1"/>
  <c r="K723" i="13"/>
  <c r="P738" i="13"/>
  <c r="M737" i="13"/>
  <c r="P737" i="13" s="1"/>
  <c r="L770" i="13"/>
  <c r="O770" i="13" s="1"/>
  <c r="N331" i="13"/>
  <c r="O331" i="13" s="1"/>
  <c r="N395" i="13"/>
  <c r="N502" i="13"/>
  <c r="O656" i="13"/>
  <c r="O660" i="13"/>
  <c r="M660" i="13"/>
  <c r="O535" i="13"/>
  <c r="L525" i="13"/>
  <c r="O545" i="13"/>
  <c r="P771" i="13"/>
  <c r="M770" i="13"/>
  <c r="P770" i="13" s="1"/>
  <c r="L789" i="13"/>
  <c r="O789" i="13" s="1"/>
  <c r="O791" i="13"/>
  <c r="I785" i="13"/>
  <c r="K785" i="13" s="1"/>
  <c r="K800" i="13"/>
  <c r="N330" i="13"/>
  <c r="P336" i="13"/>
  <c r="M391" i="13"/>
  <c r="P391" i="13" s="1"/>
  <c r="K438" i="13"/>
  <c r="L533" i="13"/>
  <c r="O533" i="13" s="1"/>
  <c r="L555" i="13"/>
  <c r="O555" i="13" s="1"/>
  <c r="I628" i="13"/>
  <c r="K628" i="13" s="1"/>
  <c r="K651" i="13"/>
  <c r="N770" i="13"/>
  <c r="O806" i="13"/>
  <c r="L805" i="13"/>
  <c r="O805" i="13" s="1"/>
  <c r="P333" i="13"/>
  <c r="P397" i="13"/>
  <c r="M444" i="13"/>
  <c r="P444" i="13" s="1"/>
  <c r="L546" i="13"/>
  <c r="O546" i="13" s="1"/>
  <c r="P555" i="13"/>
  <c r="M545" i="13"/>
  <c r="I559" i="13"/>
  <c r="K576" i="13"/>
  <c r="K592" i="13"/>
  <c r="N629" i="13"/>
  <c r="P755" i="13"/>
  <c r="M754" i="13"/>
  <c r="P754" i="13" s="1"/>
  <c r="N808" i="13"/>
  <c r="M786" i="13"/>
  <c r="P786" i="13" s="1"/>
  <c r="M805" i="13"/>
  <c r="P805" i="13" s="1"/>
  <c r="L555" i="4"/>
  <c r="O555" i="4" s="1"/>
  <c r="N55" i="9"/>
  <c r="N53" i="9" s="1"/>
  <c r="L43" i="12"/>
  <c r="L41" i="12" s="1"/>
  <c r="N90" i="12"/>
  <c r="N88" i="12" s="1"/>
  <c r="K159" i="12"/>
  <c r="M167" i="12"/>
  <c r="M165" i="12" s="1"/>
  <c r="P170" i="12"/>
  <c r="K204" i="12"/>
  <c r="K215" i="12"/>
  <c r="N283" i="12"/>
  <c r="M330" i="12"/>
  <c r="M328" i="12" s="1"/>
  <c r="M347" i="12"/>
  <c r="M345" i="12" s="1"/>
  <c r="L391" i="12"/>
  <c r="L389" i="12" s="1"/>
  <c r="O389" i="12" s="1"/>
  <c r="K673" i="12"/>
  <c r="L229" i="10"/>
  <c r="L125" i="11"/>
  <c r="O125" i="11" s="1"/>
  <c r="K649" i="11"/>
  <c r="L47" i="12"/>
  <c r="O47" i="12" s="1"/>
  <c r="M55" i="12"/>
  <c r="M53" i="12" s="1"/>
  <c r="M59" i="12"/>
  <c r="P59" i="12" s="1"/>
  <c r="N68" i="12"/>
  <c r="N66" i="12" s="1"/>
  <c r="M94" i="12"/>
  <c r="P94" i="12" s="1"/>
  <c r="J143" i="12"/>
  <c r="J131" i="12" s="1"/>
  <c r="L198" i="12"/>
  <c r="O198" i="12" s="1"/>
  <c r="L209" i="12"/>
  <c r="O209" i="12" s="1"/>
  <c r="M263" i="12"/>
  <c r="M261" i="12" s="1"/>
  <c r="O333" i="12"/>
  <c r="M348" i="12"/>
  <c r="P348" i="12" s="1"/>
  <c r="K359" i="12"/>
  <c r="K594" i="12"/>
  <c r="K827" i="12"/>
  <c r="K215" i="10"/>
  <c r="M47" i="12"/>
  <c r="P47" i="12" s="1"/>
  <c r="O394" i="12"/>
  <c r="L59" i="11"/>
  <c r="O59" i="11" s="1"/>
  <c r="P124" i="12"/>
  <c r="L135" i="12"/>
  <c r="O135" i="12" s="1"/>
  <c r="K146" i="12"/>
  <c r="M151" i="12"/>
  <c r="M149" i="12" s="1"/>
  <c r="K374" i="12"/>
  <c r="L395" i="12"/>
  <c r="O395" i="12" s="1"/>
  <c r="L36" i="12"/>
  <c r="O36" i="12" s="1"/>
  <c r="L687" i="12"/>
  <c r="L685" i="12" s="1"/>
  <c r="O685" i="12" s="1"/>
  <c r="I276" i="10"/>
  <c r="K276" i="10" s="1"/>
  <c r="O46" i="12"/>
  <c r="M125" i="12"/>
  <c r="P125" i="12" s="1"/>
  <c r="K369" i="12"/>
  <c r="K372" i="12"/>
  <c r="K592" i="12"/>
  <c r="K287" i="12"/>
  <c r="I276" i="12"/>
  <c r="K276" i="12" s="1"/>
  <c r="M301" i="12"/>
  <c r="M300" i="12"/>
  <c r="M298" i="12" s="1"/>
  <c r="I434" i="12"/>
  <c r="K434" i="12" s="1"/>
  <c r="K440" i="12"/>
  <c r="M43" i="11"/>
  <c r="P184" i="11"/>
  <c r="L334" i="11"/>
  <c r="O334" i="11" s="1"/>
  <c r="J721" i="11"/>
  <c r="M26" i="12"/>
  <c r="M16" i="12" s="1"/>
  <c r="M14" i="12" s="1"/>
  <c r="L56" i="12"/>
  <c r="O56" i="12" s="1"/>
  <c r="L68" i="12"/>
  <c r="O68" i="12" s="1"/>
  <c r="N94" i="12"/>
  <c r="K99" i="12"/>
  <c r="N138" i="12"/>
  <c r="P138" i="12" s="1"/>
  <c r="I143" i="12"/>
  <c r="K145" i="12"/>
  <c r="M155" i="12"/>
  <c r="P155" i="12" s="1"/>
  <c r="N168" i="12"/>
  <c r="P168" i="12" s="1"/>
  <c r="M171" i="12"/>
  <c r="P171" i="12" s="1"/>
  <c r="K271" i="12"/>
  <c r="N317" i="12"/>
  <c r="N315" i="12" s="1"/>
  <c r="P323" i="12"/>
  <c r="M321" i="12"/>
  <c r="P321" i="12" s="1"/>
  <c r="O353" i="12"/>
  <c r="J364" i="12"/>
  <c r="M90" i="11"/>
  <c r="M88" i="11" s="1"/>
  <c r="M334" i="11"/>
  <c r="P334" i="11" s="1"/>
  <c r="K338" i="11"/>
  <c r="K821" i="11"/>
  <c r="K824" i="11"/>
  <c r="K827" i="11"/>
  <c r="N23" i="12"/>
  <c r="N21" i="12" s="1"/>
  <c r="P46" i="12"/>
  <c r="M56" i="12"/>
  <c r="P56" i="12" s="1"/>
  <c r="O157" i="12"/>
  <c r="K190" i="12"/>
  <c r="L238" i="12"/>
  <c r="L249" i="12"/>
  <c r="O249" i="12" s="1"/>
  <c r="L279" i="12"/>
  <c r="O279" i="12" s="1"/>
  <c r="L318" i="12"/>
  <c r="O318" i="12" s="1"/>
  <c r="O407" i="12"/>
  <c r="N408" i="12"/>
  <c r="N404" i="12"/>
  <c r="N402" i="12" s="1"/>
  <c r="I559" i="10"/>
  <c r="K559" i="10" s="1"/>
  <c r="I233" i="11"/>
  <c r="K233" i="11" s="1"/>
  <c r="I237" i="11"/>
  <c r="K237" i="11" s="1"/>
  <c r="O44" i="12"/>
  <c r="M90" i="12"/>
  <c r="M88" i="12" s="1"/>
  <c r="N121" i="12"/>
  <c r="N119" i="12" s="1"/>
  <c r="P157" i="12"/>
  <c r="I248" i="12"/>
  <c r="K248" i="12" s="1"/>
  <c r="L229" i="12"/>
  <c r="O285" i="12"/>
  <c r="L283" i="12"/>
  <c r="O283" i="12" s="1"/>
  <c r="L447" i="12"/>
  <c r="O447" i="12" s="1"/>
  <c r="M449" i="12"/>
  <c r="M447" i="12" s="1"/>
  <c r="P447" i="12" s="1"/>
  <c r="L446" i="12"/>
  <c r="L470" i="12"/>
  <c r="O470" i="12" s="1"/>
  <c r="M472" i="12"/>
  <c r="M469" i="12" s="1"/>
  <c r="P469" i="12" s="1"/>
  <c r="L469" i="12"/>
  <c r="O469" i="12" s="1"/>
  <c r="L231" i="11"/>
  <c r="K369" i="11"/>
  <c r="L59" i="12"/>
  <c r="O59" i="12" s="1"/>
  <c r="I76" i="12"/>
  <c r="K76" i="12" s="1"/>
  <c r="M91" i="12"/>
  <c r="P91" i="12" s="1"/>
  <c r="M135" i="12"/>
  <c r="P135" i="12" s="1"/>
  <c r="O140" i="12"/>
  <c r="L183" i="12"/>
  <c r="L181" i="12" s="1"/>
  <c r="N267" i="12"/>
  <c r="N263" i="12"/>
  <c r="N261" i="12" s="1"/>
  <c r="L280" i="12"/>
  <c r="O280" i="12" s="1"/>
  <c r="L304" i="12"/>
  <c r="O304" i="12" s="1"/>
  <c r="O306" i="12"/>
  <c r="P333" i="12"/>
  <c r="O350" i="12"/>
  <c r="L348" i="12"/>
  <c r="O348" i="12" s="1"/>
  <c r="L788" i="12"/>
  <c r="O788" i="12" s="1"/>
  <c r="K340" i="8"/>
  <c r="K378" i="11"/>
  <c r="P140" i="12"/>
  <c r="L231" i="12"/>
  <c r="J327" i="12"/>
  <c r="K327" i="12" s="1"/>
  <c r="O449" i="12"/>
  <c r="O472" i="12"/>
  <c r="L526" i="12"/>
  <c r="O526" i="12" s="1"/>
  <c r="O528" i="12"/>
  <c r="L525" i="12"/>
  <c r="K340" i="12"/>
  <c r="K362" i="12"/>
  <c r="M391" i="12"/>
  <c r="P391" i="12" s="1"/>
  <c r="L33" i="12"/>
  <c r="O33" i="12" s="1"/>
  <c r="K700" i="12"/>
  <c r="K355" i="12"/>
  <c r="K370" i="12"/>
  <c r="N391" i="12"/>
  <c r="N389" i="12" s="1"/>
  <c r="J537" i="12"/>
  <c r="J522" i="12" s="1"/>
  <c r="K725" i="12"/>
  <c r="K822" i="12"/>
  <c r="K825" i="12"/>
  <c r="K828" i="12"/>
  <c r="J433" i="12"/>
  <c r="J417" i="12" s="1"/>
  <c r="K435" i="12"/>
  <c r="K537" i="12"/>
  <c r="K669" i="12"/>
  <c r="K723" i="12"/>
  <c r="N28" i="12"/>
  <c r="M9" i="12"/>
  <c r="P12" i="12"/>
  <c r="O19" i="12"/>
  <c r="L267" i="12"/>
  <c r="O267" i="12" s="1"/>
  <c r="O269" i="12"/>
  <c r="P738" i="12"/>
  <c r="M737" i="12"/>
  <c r="P737" i="12" s="1"/>
  <c r="K340" i="10"/>
  <c r="N43" i="11"/>
  <c r="N41" i="11" s="1"/>
  <c r="O93" i="11"/>
  <c r="K362" i="11"/>
  <c r="L454" i="11"/>
  <c r="O454" i="11" s="1"/>
  <c r="L658" i="11"/>
  <c r="O658" i="11" s="1"/>
  <c r="N19" i="12"/>
  <c r="N12" i="12"/>
  <c r="N26" i="12"/>
  <c r="L29" i="12"/>
  <c r="N30" i="12"/>
  <c r="M43" i="12"/>
  <c r="M41" i="12" s="1"/>
  <c r="I112" i="12"/>
  <c r="K112" i="12" s="1"/>
  <c r="N151" i="12"/>
  <c r="P154" i="12"/>
  <c r="N167" i="12"/>
  <c r="N165" i="12" s="1"/>
  <c r="K297" i="12"/>
  <c r="O96" i="12"/>
  <c r="L94" i="12"/>
  <c r="O94" i="12" s="1"/>
  <c r="M283" i="12"/>
  <c r="P283" i="12" s="1"/>
  <c r="P285" i="12"/>
  <c r="P788" i="12"/>
  <c r="M786" i="12"/>
  <c r="P786" i="12" s="1"/>
  <c r="P127" i="11"/>
  <c r="M263" i="11"/>
  <c r="M261" i="11" s="1"/>
  <c r="N43" i="12"/>
  <c r="N55" i="12"/>
  <c r="P166" i="12"/>
  <c r="O170" i="12"/>
  <c r="L168" i="12"/>
  <c r="N183" i="12"/>
  <c r="L228" i="12"/>
  <c r="M279" i="12"/>
  <c r="N334" i="12"/>
  <c r="N330" i="12"/>
  <c r="L658" i="12"/>
  <c r="O658" i="12" s="1"/>
  <c r="O660" i="12"/>
  <c r="M660" i="12"/>
  <c r="L657" i="12"/>
  <c r="M19" i="12"/>
  <c r="L230" i="11"/>
  <c r="M304" i="11"/>
  <c r="P304" i="11" s="1"/>
  <c r="K360" i="11"/>
  <c r="O407" i="11"/>
  <c r="L429" i="11"/>
  <c r="O429" i="11" s="1"/>
  <c r="L446" i="11"/>
  <c r="O446" i="11" s="1"/>
  <c r="K651" i="11"/>
  <c r="P22" i="12"/>
  <c r="O25" i="12"/>
  <c r="P89" i="12"/>
  <c r="O93" i="12"/>
  <c r="L91" i="12"/>
  <c r="O91" i="12" s="1"/>
  <c r="O127" i="12"/>
  <c r="K176" i="12"/>
  <c r="I174" i="12"/>
  <c r="P182" i="12"/>
  <c r="O278" i="12"/>
  <c r="N301" i="12"/>
  <c r="O301" i="12" s="1"/>
  <c r="P303" i="12"/>
  <c r="N300" i="12"/>
  <c r="N298" i="12" s="1"/>
  <c r="O323" i="12"/>
  <c r="L317" i="12"/>
  <c r="O317" i="12" s="1"/>
  <c r="P390" i="12"/>
  <c r="L408" i="12"/>
  <c r="O408" i="12" s="1"/>
  <c r="O410" i="12"/>
  <c r="L404" i="12"/>
  <c r="P445" i="12"/>
  <c r="O133" i="12"/>
  <c r="P771" i="12"/>
  <c r="M770" i="12"/>
  <c r="P770" i="12" s="1"/>
  <c r="P807" i="12"/>
  <c r="M805" i="12"/>
  <c r="P805" i="12" s="1"/>
  <c r="M55" i="11"/>
  <c r="M53" i="11" s="1"/>
  <c r="J288" i="11"/>
  <c r="J275" i="11" s="1"/>
  <c r="I522" i="11"/>
  <c r="K522" i="11" s="1"/>
  <c r="L12" i="12"/>
  <c r="L15" i="12"/>
  <c r="M23" i="12"/>
  <c r="M21" i="12" s="1"/>
  <c r="K78" i="12"/>
  <c r="L121" i="12"/>
  <c r="L134" i="12"/>
  <c r="O173" i="12"/>
  <c r="L171" i="12"/>
  <c r="O171" i="12" s="1"/>
  <c r="L263" i="12"/>
  <c r="M280" i="12"/>
  <c r="P280" i="12" s="1"/>
  <c r="P282" i="12"/>
  <c r="K288" i="12"/>
  <c r="J288" i="12"/>
  <c r="J275" i="12" s="1"/>
  <c r="I275" i="12"/>
  <c r="K275" i="12" s="1"/>
  <c r="P316" i="12"/>
  <c r="L321" i="12"/>
  <c r="O321" i="12" s="1"/>
  <c r="N279" i="10"/>
  <c r="N277" i="10" s="1"/>
  <c r="M300" i="10"/>
  <c r="P300" i="10" s="1"/>
  <c r="P303" i="10"/>
  <c r="L43" i="11"/>
  <c r="L41" i="11" s="1"/>
  <c r="I275" i="11"/>
  <c r="K275" i="11" s="1"/>
  <c r="J364" i="11"/>
  <c r="L469" i="11"/>
  <c r="L467" i="11" s="1"/>
  <c r="L688" i="11"/>
  <c r="O688" i="11" s="1"/>
  <c r="L26" i="12"/>
  <c r="L24" i="12" s="1"/>
  <c r="M44" i="12"/>
  <c r="P44" i="12" s="1"/>
  <c r="L23" i="12"/>
  <c r="L21" i="12" s="1"/>
  <c r="M68" i="12"/>
  <c r="K79" i="12"/>
  <c r="I77" i="12"/>
  <c r="O124" i="12"/>
  <c r="M134" i="12"/>
  <c r="K130" i="12"/>
  <c r="L151" i="12"/>
  <c r="L167" i="12"/>
  <c r="P186" i="12"/>
  <c r="L264" i="12"/>
  <c r="O264" i="12" s="1"/>
  <c r="O266" i="12"/>
  <c r="N414" i="12"/>
  <c r="L184" i="12"/>
  <c r="O184" i="12" s="1"/>
  <c r="L187" i="12"/>
  <c r="O187" i="12" s="1"/>
  <c r="O303" i="12"/>
  <c r="P306" i="12"/>
  <c r="M405" i="12"/>
  <c r="P405" i="12" s="1"/>
  <c r="I559" i="12"/>
  <c r="K576" i="12"/>
  <c r="K593" i="12"/>
  <c r="O787" i="12"/>
  <c r="I785" i="12"/>
  <c r="K785" i="12" s="1"/>
  <c r="K800" i="12"/>
  <c r="O806" i="12"/>
  <c r="L805" i="12"/>
  <c r="O805" i="12" s="1"/>
  <c r="I233" i="12"/>
  <c r="K233" i="12" s="1"/>
  <c r="L429" i="12"/>
  <c r="O429" i="12" s="1"/>
  <c r="O431" i="12"/>
  <c r="O468" i="12"/>
  <c r="I628" i="12"/>
  <c r="K628" i="12" s="1"/>
  <c r="K651" i="12"/>
  <c r="K338" i="12"/>
  <c r="L347" i="12"/>
  <c r="M404" i="12"/>
  <c r="P404" i="12" s="1"/>
  <c r="L547" i="12"/>
  <c r="O547" i="12" s="1"/>
  <c r="O549" i="12"/>
  <c r="M549" i="12"/>
  <c r="L555" i="12"/>
  <c r="O555" i="12" s="1"/>
  <c r="O557" i="12"/>
  <c r="P630" i="12"/>
  <c r="M629" i="12"/>
  <c r="P629" i="12" s="1"/>
  <c r="P755" i="12"/>
  <c r="M754" i="12"/>
  <c r="P754" i="12" s="1"/>
  <c r="N805" i="12"/>
  <c r="L422" i="12"/>
  <c r="O422" i="12" s="1"/>
  <c r="M424" i="12"/>
  <c r="O546" i="12"/>
  <c r="L544" i="12"/>
  <c r="O544" i="12" s="1"/>
  <c r="I237" i="12"/>
  <c r="L300" i="12"/>
  <c r="M317" i="12"/>
  <c r="P317" i="12" s="1"/>
  <c r="N347" i="12"/>
  <c r="P353" i="12"/>
  <c r="I417" i="12"/>
  <c r="P503" i="12"/>
  <c r="M502" i="12"/>
  <c r="P502" i="12" s="1"/>
  <c r="P555" i="12"/>
  <c r="M545" i="12"/>
  <c r="P686" i="12"/>
  <c r="P524" i="12"/>
  <c r="K675" i="12"/>
  <c r="K672" i="12"/>
  <c r="L688" i="12"/>
  <c r="O688" i="12" s="1"/>
  <c r="M690" i="12"/>
  <c r="I654" i="12"/>
  <c r="K654" i="12" s="1"/>
  <c r="L36" i="11"/>
  <c r="O36" i="11" s="1"/>
  <c r="L43" i="10"/>
  <c r="L41" i="10" s="1"/>
  <c r="N134" i="10"/>
  <c r="N132" i="10" s="1"/>
  <c r="M280" i="10"/>
  <c r="P280" i="10" s="1"/>
  <c r="M317" i="10"/>
  <c r="P317" i="10" s="1"/>
  <c r="M59" i="11"/>
  <c r="P59" i="11" s="1"/>
  <c r="M151" i="11"/>
  <c r="M149" i="11" s="1"/>
  <c r="P186" i="11"/>
  <c r="K370" i="11"/>
  <c r="L391" i="11"/>
  <c r="L389" i="11" s="1"/>
  <c r="O389" i="11" s="1"/>
  <c r="O479" i="11"/>
  <c r="L631" i="11"/>
  <c r="O631" i="11" s="1"/>
  <c r="M263" i="9"/>
  <c r="M261" i="9" s="1"/>
  <c r="N300" i="9"/>
  <c r="N298" i="9" s="1"/>
  <c r="O56" i="10"/>
  <c r="M392" i="10"/>
  <c r="P392" i="10" s="1"/>
  <c r="I522" i="10"/>
  <c r="K522" i="10" s="1"/>
  <c r="L525" i="10"/>
  <c r="O525" i="10" s="1"/>
  <c r="P46" i="11"/>
  <c r="P61" i="11"/>
  <c r="L68" i="11"/>
  <c r="O68" i="11" s="1"/>
  <c r="N121" i="11"/>
  <c r="N119" i="11" s="1"/>
  <c r="I130" i="11"/>
  <c r="K130" i="11" s="1"/>
  <c r="O137" i="11"/>
  <c r="L155" i="11"/>
  <c r="O155" i="11" s="1"/>
  <c r="L187" i="11"/>
  <c r="O187" i="11" s="1"/>
  <c r="K215" i="11"/>
  <c r="I276" i="11"/>
  <c r="K276" i="11" s="1"/>
  <c r="M280" i="11"/>
  <c r="P280" i="11" s="1"/>
  <c r="L317" i="11"/>
  <c r="L392" i="11"/>
  <c r="O392" i="11" s="1"/>
  <c r="K577" i="11"/>
  <c r="K628" i="11"/>
  <c r="L657" i="11"/>
  <c r="O657" i="11" s="1"/>
  <c r="O791" i="11"/>
  <c r="N404" i="10"/>
  <c r="N402" i="10" s="1"/>
  <c r="L55" i="11"/>
  <c r="L53" i="11" s="1"/>
  <c r="L69" i="11"/>
  <c r="O69" i="11" s="1"/>
  <c r="L94" i="11"/>
  <c r="O94" i="11" s="1"/>
  <c r="L122" i="11"/>
  <c r="O122" i="11" s="1"/>
  <c r="P137" i="11"/>
  <c r="N134" i="11"/>
  <c r="N132" i="11" s="1"/>
  <c r="M155" i="11"/>
  <c r="P155" i="11" s="1"/>
  <c r="N263" i="11"/>
  <c r="N261" i="11" s="1"/>
  <c r="O282" i="11"/>
  <c r="L318" i="11"/>
  <c r="O318" i="11" s="1"/>
  <c r="P323" i="11"/>
  <c r="M392" i="11"/>
  <c r="P392" i="11" s="1"/>
  <c r="K647" i="11"/>
  <c r="I654" i="11"/>
  <c r="K654" i="11" s="1"/>
  <c r="J722" i="11"/>
  <c r="N151" i="10"/>
  <c r="N149" i="10" s="1"/>
  <c r="I87" i="11"/>
  <c r="K87" i="11" s="1"/>
  <c r="M94" i="11"/>
  <c r="P94" i="11" s="1"/>
  <c r="N138" i="11"/>
  <c r="J143" i="11"/>
  <c r="J131" i="11" s="1"/>
  <c r="M171" i="11"/>
  <c r="P171" i="11" s="1"/>
  <c r="N264" i="11"/>
  <c r="O264" i="11" s="1"/>
  <c r="L267" i="11"/>
  <c r="O267" i="11" s="1"/>
  <c r="L395" i="11"/>
  <c r="O395" i="11" s="1"/>
  <c r="N404" i="11"/>
  <c r="K672" i="11"/>
  <c r="N55" i="11"/>
  <c r="N53" i="11" s="1"/>
  <c r="L90" i="11"/>
  <c r="L88" i="11" s="1"/>
  <c r="N171" i="11"/>
  <c r="N167" i="11"/>
  <c r="N165" i="11" s="1"/>
  <c r="L391" i="10"/>
  <c r="O391" i="10" s="1"/>
  <c r="L408" i="11"/>
  <c r="O408" i="11" s="1"/>
  <c r="L404" i="11"/>
  <c r="O404" i="11" s="1"/>
  <c r="O410" i="11"/>
  <c r="M55" i="10"/>
  <c r="M53" i="10" s="1"/>
  <c r="I197" i="11"/>
  <c r="K197" i="11" s="1"/>
  <c r="K204" i="11"/>
  <c r="L122" i="10"/>
  <c r="O122" i="10" s="1"/>
  <c r="M134" i="10"/>
  <c r="P134" i="10" s="1"/>
  <c r="M318" i="10"/>
  <c r="P318" i="10" s="1"/>
  <c r="P320" i="10"/>
  <c r="L44" i="11"/>
  <c r="O46" i="11"/>
  <c r="P285" i="11"/>
  <c r="M279" i="11"/>
  <c r="P279" i="11" s="1"/>
  <c r="M283" i="11"/>
  <c r="P283" i="11" s="1"/>
  <c r="N300" i="11"/>
  <c r="N298" i="11" s="1"/>
  <c r="N301" i="11"/>
  <c r="L304" i="11"/>
  <c r="O304" i="11" s="1"/>
  <c r="O306" i="11"/>
  <c r="L300" i="11"/>
  <c r="O300" i="11" s="1"/>
  <c r="N348" i="11"/>
  <c r="P348" i="11" s="1"/>
  <c r="N347" i="11"/>
  <c r="N345" i="11" s="1"/>
  <c r="K359" i="11"/>
  <c r="M408" i="11"/>
  <c r="P408" i="11" s="1"/>
  <c r="P410" i="11"/>
  <c r="N183" i="9"/>
  <c r="N181" i="9" s="1"/>
  <c r="N90" i="10"/>
  <c r="N88" i="10" s="1"/>
  <c r="L209" i="10"/>
  <c r="O209" i="10" s="1"/>
  <c r="M321" i="10"/>
  <c r="P321" i="10" s="1"/>
  <c r="N391" i="10"/>
  <c r="N389" i="10" s="1"/>
  <c r="L477" i="10"/>
  <c r="O477" i="10" s="1"/>
  <c r="L546" i="10"/>
  <c r="L544" i="10" s="1"/>
  <c r="O544" i="10" s="1"/>
  <c r="N44" i="11"/>
  <c r="L47" i="11"/>
  <c r="O47" i="11" s="1"/>
  <c r="K78" i="11"/>
  <c r="I76" i="11"/>
  <c r="I64" i="11" s="1"/>
  <c r="K64" i="11" s="1"/>
  <c r="N91" i="11"/>
  <c r="P91" i="11" s="1"/>
  <c r="P93" i="11"/>
  <c r="K144" i="11"/>
  <c r="O170" i="11"/>
  <c r="L167" i="11"/>
  <c r="L168" i="11"/>
  <c r="O168" i="11" s="1"/>
  <c r="K224" i="11"/>
  <c r="N280" i="11"/>
  <c r="N279" i="11"/>
  <c r="N277" i="11" s="1"/>
  <c r="O323" i="11"/>
  <c r="L321" i="11"/>
  <c r="O321" i="11" s="1"/>
  <c r="M330" i="11"/>
  <c r="M328" i="11" s="1"/>
  <c r="O350" i="11"/>
  <c r="K379" i="11"/>
  <c r="N405" i="11"/>
  <c r="M43" i="9"/>
  <c r="M41" i="9" s="1"/>
  <c r="N121" i="10"/>
  <c r="N119" i="10" s="1"/>
  <c r="P353" i="11"/>
  <c r="M347" i="11"/>
  <c r="M345" i="11" s="1"/>
  <c r="M351" i="11"/>
  <c r="P351" i="11" s="1"/>
  <c r="J433" i="11"/>
  <c r="I433" i="11"/>
  <c r="I417" i="11" s="1"/>
  <c r="M68" i="9"/>
  <c r="P68" i="9" s="1"/>
  <c r="J433" i="10"/>
  <c r="J417" i="10" s="1"/>
  <c r="L687" i="10"/>
  <c r="O687" i="10" s="1"/>
  <c r="M26" i="11"/>
  <c r="L33" i="11"/>
  <c r="L31" i="11" s="1"/>
  <c r="I86" i="11"/>
  <c r="K86" i="11" s="1"/>
  <c r="P170" i="11"/>
  <c r="M167" i="11"/>
  <c r="M168" i="11"/>
  <c r="P168" i="11" s="1"/>
  <c r="P189" i="11"/>
  <c r="M187" i="11"/>
  <c r="P187" i="11" s="1"/>
  <c r="L263" i="11"/>
  <c r="L261" i="11" s="1"/>
  <c r="P397" i="11"/>
  <c r="M395" i="11"/>
  <c r="P395" i="11" s="1"/>
  <c r="O641" i="11"/>
  <c r="L639" i="11"/>
  <c r="O639" i="11" s="1"/>
  <c r="M121" i="10"/>
  <c r="P121" i="10" s="1"/>
  <c r="K725" i="10"/>
  <c r="K821" i="10"/>
  <c r="K824" i="10"/>
  <c r="K827" i="10"/>
  <c r="M23" i="11"/>
  <c r="M20" i="11" s="1"/>
  <c r="N68" i="11"/>
  <c r="N66" i="11" s="1"/>
  <c r="N72" i="11"/>
  <c r="O140" i="11"/>
  <c r="L134" i="11"/>
  <c r="L138" i="11"/>
  <c r="O138" i="11" s="1"/>
  <c r="P154" i="11"/>
  <c r="N187" i="11"/>
  <c r="N183" i="11"/>
  <c r="N181" i="11" s="1"/>
  <c r="L228" i="11"/>
  <c r="L249" i="11"/>
  <c r="O249" i="11" s="1"/>
  <c r="K372" i="11"/>
  <c r="N395" i="11"/>
  <c r="N391" i="11"/>
  <c r="N389" i="11" s="1"/>
  <c r="O58" i="11"/>
  <c r="M68" i="11"/>
  <c r="P68" i="11" s="1"/>
  <c r="I174" i="11"/>
  <c r="I164" i="11" s="1"/>
  <c r="K164" i="11" s="1"/>
  <c r="M183" i="11"/>
  <c r="L209" i="11"/>
  <c r="O209" i="11" s="1"/>
  <c r="L217" i="11"/>
  <c r="O217" i="11" s="1"/>
  <c r="K145" i="11"/>
  <c r="I190" i="11"/>
  <c r="K190" i="11" s="1"/>
  <c r="L198" i="11"/>
  <c r="O198" i="11" s="1"/>
  <c r="L279" i="11"/>
  <c r="O279" i="11" s="1"/>
  <c r="N317" i="11"/>
  <c r="N315" i="11" s="1"/>
  <c r="L347" i="11"/>
  <c r="L345" i="11" s="1"/>
  <c r="K385" i="11"/>
  <c r="M391" i="11"/>
  <c r="N402" i="11"/>
  <c r="L555" i="11"/>
  <c r="O555" i="11" s="1"/>
  <c r="K568" i="11"/>
  <c r="K822" i="11"/>
  <c r="K825" i="11"/>
  <c r="K828" i="11"/>
  <c r="L171" i="11"/>
  <c r="O171" i="11" s="1"/>
  <c r="J327" i="11"/>
  <c r="K327" i="11" s="1"/>
  <c r="P350" i="11"/>
  <c r="O351" i="11"/>
  <c r="K374" i="11"/>
  <c r="K381" i="11"/>
  <c r="L546" i="11"/>
  <c r="O546" i="11" s="1"/>
  <c r="M549" i="11"/>
  <c r="M634" i="11"/>
  <c r="M631" i="11" s="1"/>
  <c r="P631" i="11" s="1"/>
  <c r="K674" i="11"/>
  <c r="L788" i="11"/>
  <c r="O788" i="11" s="1"/>
  <c r="K823" i="11"/>
  <c r="K826" i="11"/>
  <c r="I131" i="11"/>
  <c r="K131" i="11" s="1"/>
  <c r="K143" i="11"/>
  <c r="O186" i="11"/>
  <c r="L183" i="11"/>
  <c r="L184" i="11"/>
  <c r="O184" i="11" s="1"/>
  <c r="N788" i="11"/>
  <c r="N786" i="11" s="1"/>
  <c r="N789" i="11"/>
  <c r="N33" i="11"/>
  <c r="I785" i="11"/>
  <c r="K785" i="11" s="1"/>
  <c r="K800" i="11"/>
  <c r="P54" i="11"/>
  <c r="I174" i="8"/>
  <c r="I164" i="8" s="1"/>
  <c r="K164" i="8" s="1"/>
  <c r="P93" i="10"/>
  <c r="M171" i="10"/>
  <c r="P171" i="10" s="1"/>
  <c r="J364" i="10"/>
  <c r="M549" i="10"/>
  <c r="P549" i="10" s="1"/>
  <c r="K720" i="10"/>
  <c r="P36" i="11"/>
  <c r="M34" i="11"/>
  <c r="P34" i="11" s="1"/>
  <c r="N56" i="11"/>
  <c r="O56" i="11" s="1"/>
  <c r="P58" i="11"/>
  <c r="I592" i="11"/>
  <c r="O56" i="8"/>
  <c r="L59" i="10"/>
  <c r="O59" i="10" s="1"/>
  <c r="M151" i="10"/>
  <c r="P151" i="10" s="1"/>
  <c r="M187" i="10"/>
  <c r="P187" i="10" s="1"/>
  <c r="L547" i="10"/>
  <c r="O547" i="10" s="1"/>
  <c r="O35" i="11"/>
  <c r="P124" i="11"/>
  <c r="M121" i="11"/>
  <c r="P121" i="11" s="1"/>
  <c r="O154" i="11"/>
  <c r="L23" i="11"/>
  <c r="L21" i="11" s="1"/>
  <c r="L151" i="11"/>
  <c r="K538" i="11"/>
  <c r="J537" i="11"/>
  <c r="J522" i="11" s="1"/>
  <c r="P61" i="10"/>
  <c r="O266" i="10"/>
  <c r="N280" i="10"/>
  <c r="N392" i="10"/>
  <c r="L15" i="11"/>
  <c r="N59" i="11"/>
  <c r="N26" i="11"/>
  <c r="L152" i="11"/>
  <c r="O152" i="11" s="1"/>
  <c r="I130" i="9"/>
  <c r="K130" i="9" s="1"/>
  <c r="N301" i="9"/>
  <c r="M47" i="10"/>
  <c r="P47" i="10" s="1"/>
  <c r="I77" i="10"/>
  <c r="K77" i="10" s="1"/>
  <c r="M152" i="10"/>
  <c r="P152" i="10" s="1"/>
  <c r="L238" i="10"/>
  <c r="O238" i="10" s="1"/>
  <c r="K822" i="10"/>
  <c r="K825" i="10"/>
  <c r="K828" i="10"/>
  <c r="O22" i="11"/>
  <c r="L19" i="11"/>
  <c r="L12" i="11"/>
  <c r="L29" i="11"/>
  <c r="N94" i="11"/>
  <c r="N90" i="11"/>
  <c r="I112" i="11"/>
  <c r="K112" i="11" s="1"/>
  <c r="K115" i="11"/>
  <c r="N151" i="11"/>
  <c r="N149" i="11" s="1"/>
  <c r="L238" i="11"/>
  <c r="K271" i="11"/>
  <c r="I260" i="11"/>
  <c r="K260" i="11" s="1"/>
  <c r="I297" i="10"/>
  <c r="K297" i="10" s="1"/>
  <c r="I433" i="10"/>
  <c r="I417" i="10" s="1"/>
  <c r="K701" i="10"/>
  <c r="K723" i="10"/>
  <c r="L283" i="11"/>
  <c r="O283" i="11" s="1"/>
  <c r="O285" i="11"/>
  <c r="L26" i="11"/>
  <c r="L24" i="11" s="1"/>
  <c r="O333" i="11"/>
  <c r="L330" i="11"/>
  <c r="L331" i="11"/>
  <c r="M9" i="11"/>
  <c r="M15" i="11"/>
  <c r="N23" i="11"/>
  <c r="M29" i="11"/>
  <c r="M44" i="11"/>
  <c r="M47" i="11"/>
  <c r="P47" i="11" s="1"/>
  <c r="M69" i="11"/>
  <c r="P69" i="11" s="1"/>
  <c r="M72" i="11"/>
  <c r="P72" i="11" s="1"/>
  <c r="L121" i="11"/>
  <c r="O121" i="11" s="1"/>
  <c r="P152" i="11"/>
  <c r="O266" i="11"/>
  <c r="M405" i="11"/>
  <c r="P405" i="11" s="1"/>
  <c r="P407" i="11"/>
  <c r="M404" i="11"/>
  <c r="O545" i="11"/>
  <c r="K100" i="11"/>
  <c r="M264" i="11"/>
  <c r="P266" i="11"/>
  <c r="P303" i="11"/>
  <c r="M300" i="11"/>
  <c r="K325" i="11"/>
  <c r="I314" i="11"/>
  <c r="K314" i="11" s="1"/>
  <c r="N331" i="11"/>
  <c r="P331" i="11" s="1"/>
  <c r="N330" i="11"/>
  <c r="N328" i="11" s="1"/>
  <c r="M424" i="11"/>
  <c r="L421" i="11"/>
  <c r="O424" i="11"/>
  <c r="L422" i="11"/>
  <c r="P738" i="11"/>
  <c r="M737" i="11"/>
  <c r="P737" i="11" s="1"/>
  <c r="I77" i="11"/>
  <c r="M318" i="11"/>
  <c r="P318" i="11" s="1"/>
  <c r="M317" i="11"/>
  <c r="P317" i="11" s="1"/>
  <c r="P320" i="11"/>
  <c r="N470" i="11"/>
  <c r="O472" i="11"/>
  <c r="N469" i="11"/>
  <c r="M134" i="11"/>
  <c r="P134" i="11" s="1"/>
  <c r="P262" i="11"/>
  <c r="M267" i="11"/>
  <c r="P267" i="11" s="1"/>
  <c r="P269" i="11"/>
  <c r="O686" i="11"/>
  <c r="N12" i="11"/>
  <c r="P140" i="11"/>
  <c r="P316" i="11"/>
  <c r="O353" i="11"/>
  <c r="O403" i="11"/>
  <c r="O445" i="11"/>
  <c r="J559" i="11"/>
  <c r="K576" i="11"/>
  <c r="M685" i="11"/>
  <c r="P685" i="11" s="1"/>
  <c r="N737" i="11"/>
  <c r="P771" i="11"/>
  <c r="M770" i="11"/>
  <c r="P770" i="11" s="1"/>
  <c r="O806" i="11"/>
  <c r="L805" i="11"/>
  <c r="O805" i="11" s="1"/>
  <c r="O303" i="11"/>
  <c r="K355" i="11"/>
  <c r="K365" i="11"/>
  <c r="N421" i="11"/>
  <c r="N422" i="11"/>
  <c r="I434" i="11"/>
  <c r="N447" i="11"/>
  <c r="K460" i="11"/>
  <c r="M472" i="11"/>
  <c r="L470" i="11"/>
  <c r="O470" i="11" s="1"/>
  <c r="K594" i="11"/>
  <c r="N770" i="11"/>
  <c r="O787" i="11"/>
  <c r="K340" i="11"/>
  <c r="N419" i="11"/>
  <c r="K466" i="11"/>
  <c r="O504" i="11"/>
  <c r="N504" i="11"/>
  <c r="N505" i="11"/>
  <c r="O535" i="11"/>
  <c r="L525" i="11"/>
  <c r="O525" i="11" s="1"/>
  <c r="L533" i="11"/>
  <c r="O533" i="11" s="1"/>
  <c r="N547" i="11"/>
  <c r="O549" i="11"/>
  <c r="J593" i="11"/>
  <c r="J592" i="11" s="1"/>
  <c r="P755" i="11"/>
  <c r="M754" i="11"/>
  <c r="P754" i="11" s="1"/>
  <c r="N467" i="11"/>
  <c r="P333" i="11"/>
  <c r="N502" i="11"/>
  <c r="O630" i="11"/>
  <c r="N632" i="11"/>
  <c r="O632" i="11" s="1"/>
  <c r="O634" i="11"/>
  <c r="M655" i="11"/>
  <c r="P655" i="11" s="1"/>
  <c r="P656" i="11"/>
  <c r="L447" i="11"/>
  <c r="O447" i="11" s="1"/>
  <c r="K675" i="11"/>
  <c r="M786" i="11"/>
  <c r="P786" i="11" s="1"/>
  <c r="M805" i="11"/>
  <c r="P805" i="11" s="1"/>
  <c r="K669" i="11"/>
  <c r="L687" i="11"/>
  <c r="O687" i="11" s="1"/>
  <c r="N167" i="8"/>
  <c r="N165" i="8" s="1"/>
  <c r="N90" i="9"/>
  <c r="N88" i="9" s="1"/>
  <c r="M301" i="9"/>
  <c r="P301" i="9" s="1"/>
  <c r="O49" i="10"/>
  <c r="M68" i="10"/>
  <c r="P68" i="10" s="1"/>
  <c r="M26" i="10"/>
  <c r="M16" i="10" s="1"/>
  <c r="M167" i="10"/>
  <c r="M279" i="10"/>
  <c r="M277" i="10" s="1"/>
  <c r="P277" i="10" s="1"/>
  <c r="L321" i="10"/>
  <c r="O321" i="10" s="1"/>
  <c r="L347" i="10"/>
  <c r="L345" i="10" s="1"/>
  <c r="K728" i="10"/>
  <c r="O351" i="9"/>
  <c r="M69" i="10"/>
  <c r="P69" i="10" s="1"/>
  <c r="M72" i="10"/>
  <c r="P72" i="10" s="1"/>
  <c r="K79" i="10"/>
  <c r="N135" i="10"/>
  <c r="M138" i="10"/>
  <c r="P138" i="10" s="1"/>
  <c r="M155" i="10"/>
  <c r="P155" i="10" s="1"/>
  <c r="P157" i="10"/>
  <c r="K204" i="10"/>
  <c r="M263" i="10"/>
  <c r="M261" i="10" s="1"/>
  <c r="M304" i="10"/>
  <c r="P304" i="10" s="1"/>
  <c r="M408" i="10"/>
  <c r="P408" i="10" s="1"/>
  <c r="I442" i="10"/>
  <c r="K442" i="10" s="1"/>
  <c r="K651" i="10"/>
  <c r="L688" i="10"/>
  <c r="O688" i="10" s="1"/>
  <c r="N404" i="9"/>
  <c r="N402" i="9" s="1"/>
  <c r="L546" i="9"/>
  <c r="O546" i="9" s="1"/>
  <c r="I628" i="9"/>
  <c r="K628" i="9" s="1"/>
  <c r="O96" i="10"/>
  <c r="P124" i="10"/>
  <c r="L267" i="10"/>
  <c r="O267" i="10" s="1"/>
  <c r="L317" i="10"/>
  <c r="O317" i="10" s="1"/>
  <c r="L135" i="9"/>
  <c r="O135" i="9" s="1"/>
  <c r="M347" i="9"/>
  <c r="M345" i="9" s="1"/>
  <c r="J721" i="9"/>
  <c r="K721" i="9" s="1"/>
  <c r="O46" i="10"/>
  <c r="O173" i="10"/>
  <c r="P336" i="10"/>
  <c r="J364" i="9"/>
  <c r="M43" i="10"/>
  <c r="M41" i="10" s="1"/>
  <c r="K146" i="10"/>
  <c r="O170" i="10"/>
  <c r="K338" i="10"/>
  <c r="M690" i="10"/>
  <c r="M404" i="10"/>
  <c r="P404" i="10" s="1"/>
  <c r="P407" i="10"/>
  <c r="M405" i="10"/>
  <c r="P405" i="10" s="1"/>
  <c r="N183" i="8"/>
  <c r="N181" i="8" s="1"/>
  <c r="L72" i="9"/>
  <c r="O72" i="9" s="1"/>
  <c r="N391" i="9"/>
  <c r="N389" i="9" s="1"/>
  <c r="I522" i="9"/>
  <c r="K522" i="9" s="1"/>
  <c r="O641" i="9"/>
  <c r="M56" i="10"/>
  <c r="P56" i="10" s="1"/>
  <c r="L125" i="10"/>
  <c r="O125" i="10" s="1"/>
  <c r="I143" i="10"/>
  <c r="K271" i="10"/>
  <c r="L300" i="10"/>
  <c r="L301" i="10"/>
  <c r="O301" i="10" s="1"/>
  <c r="K672" i="10"/>
  <c r="J721" i="10"/>
  <c r="K721" i="10" s="1"/>
  <c r="L47" i="8"/>
  <c r="O47" i="8" s="1"/>
  <c r="M72" i="9"/>
  <c r="P72" i="9" s="1"/>
  <c r="K98" i="9"/>
  <c r="M151" i="9"/>
  <c r="P151" i="9" s="1"/>
  <c r="P170" i="9"/>
  <c r="M187" i="9"/>
  <c r="P187" i="9" s="1"/>
  <c r="L230" i="9"/>
  <c r="J722" i="9"/>
  <c r="K722" i="9" s="1"/>
  <c r="P58" i="10"/>
  <c r="L69" i="10"/>
  <c r="O69" i="10" s="1"/>
  <c r="M91" i="10"/>
  <c r="P91" i="10" s="1"/>
  <c r="K98" i="10"/>
  <c r="M125" i="10"/>
  <c r="P125" i="10" s="1"/>
  <c r="J143" i="10"/>
  <c r="J131" i="10" s="1"/>
  <c r="L152" i="10"/>
  <c r="O152" i="10" s="1"/>
  <c r="K159" i="10"/>
  <c r="I190" i="10"/>
  <c r="K190" i="10" s="1"/>
  <c r="L217" i="10"/>
  <c r="O217" i="10" s="1"/>
  <c r="K224" i="10"/>
  <c r="K244" i="10"/>
  <c r="K255" i="10"/>
  <c r="L264" i="10"/>
  <c r="M283" i="10"/>
  <c r="P283" i="10" s="1"/>
  <c r="N300" i="10"/>
  <c r="N298" i="10" s="1"/>
  <c r="O336" i="10"/>
  <c r="M421" i="10"/>
  <c r="P421" i="10" s="1"/>
  <c r="P424" i="10"/>
  <c r="O660" i="10"/>
  <c r="L657" i="10"/>
  <c r="K669" i="10"/>
  <c r="K673" i="10"/>
  <c r="M152" i="9"/>
  <c r="P152" i="9" s="1"/>
  <c r="L155" i="9"/>
  <c r="O155" i="9" s="1"/>
  <c r="L231" i="9"/>
  <c r="L631" i="9"/>
  <c r="O631" i="9" s="1"/>
  <c r="L44" i="10"/>
  <c r="N23" i="10"/>
  <c r="N13" i="10" s="1"/>
  <c r="P127" i="10"/>
  <c r="L249" i="10"/>
  <c r="O249" i="10" s="1"/>
  <c r="P285" i="10"/>
  <c r="O306" i="10"/>
  <c r="L304" i="10"/>
  <c r="O304" i="10" s="1"/>
  <c r="N318" i="10"/>
  <c r="N317" i="10"/>
  <c r="N315" i="10" s="1"/>
  <c r="O472" i="10"/>
  <c r="L470" i="10"/>
  <c r="O470" i="10" s="1"/>
  <c r="L231" i="10"/>
  <c r="L228" i="9"/>
  <c r="L422" i="9"/>
  <c r="O422" i="9" s="1"/>
  <c r="L555" i="9"/>
  <c r="O555" i="9" s="1"/>
  <c r="M183" i="10"/>
  <c r="N183" i="10"/>
  <c r="N181" i="10" s="1"/>
  <c r="I233" i="10"/>
  <c r="K233" i="10" s="1"/>
  <c r="M267" i="10"/>
  <c r="P267" i="10" s="1"/>
  <c r="O303" i="10"/>
  <c r="I434" i="10"/>
  <c r="I418" i="10" s="1"/>
  <c r="K418" i="10" s="1"/>
  <c r="I654" i="10"/>
  <c r="K654" i="10" s="1"/>
  <c r="O791" i="10"/>
  <c r="L788" i="10"/>
  <c r="O788" i="10" s="1"/>
  <c r="N317" i="9"/>
  <c r="N315" i="9" s="1"/>
  <c r="O58" i="10"/>
  <c r="L135" i="10"/>
  <c r="O135" i="10" s="1"/>
  <c r="M23" i="10"/>
  <c r="O186" i="10"/>
  <c r="L230" i="10"/>
  <c r="M331" i="10"/>
  <c r="M330" i="10"/>
  <c r="M328" i="10" s="1"/>
  <c r="J327" i="10"/>
  <c r="K327" i="10" s="1"/>
  <c r="K462" i="10"/>
  <c r="I443" i="10"/>
  <c r="K443" i="10" s="1"/>
  <c r="J722" i="10"/>
  <c r="K722" i="10" s="1"/>
  <c r="K726" i="10"/>
  <c r="K823" i="10"/>
  <c r="K826" i="10"/>
  <c r="P15" i="10"/>
  <c r="L43" i="9"/>
  <c r="L41" i="9" s="1"/>
  <c r="M135" i="9"/>
  <c r="P135" i="9" s="1"/>
  <c r="K176" i="9"/>
  <c r="L280" i="9"/>
  <c r="O280" i="9" s="1"/>
  <c r="O348" i="9"/>
  <c r="L404" i="9"/>
  <c r="O404" i="9" s="1"/>
  <c r="L447" i="9"/>
  <c r="O447" i="9" s="1"/>
  <c r="I112" i="10"/>
  <c r="K112" i="10" s="1"/>
  <c r="L187" i="10"/>
  <c r="O187" i="10" s="1"/>
  <c r="O189" i="10"/>
  <c r="N347" i="10"/>
  <c r="N351" i="10"/>
  <c r="O351" i="10" s="1"/>
  <c r="L121" i="8"/>
  <c r="O121" i="8" s="1"/>
  <c r="M151" i="8"/>
  <c r="P151" i="8" s="1"/>
  <c r="K338" i="8"/>
  <c r="P58" i="9"/>
  <c r="N121" i="9"/>
  <c r="N119" i="9" s="1"/>
  <c r="I216" i="9"/>
  <c r="K216" i="9" s="1"/>
  <c r="I276" i="9"/>
  <c r="K276" i="9" s="1"/>
  <c r="L318" i="9"/>
  <c r="O318" i="9" s="1"/>
  <c r="P351" i="9"/>
  <c r="N405" i="9"/>
  <c r="O407" i="9"/>
  <c r="I442" i="9"/>
  <c r="K442" i="9" s="1"/>
  <c r="O12" i="10"/>
  <c r="O89" i="10"/>
  <c r="L280" i="10"/>
  <c r="O280" i="10" s="1"/>
  <c r="O282" i="10"/>
  <c r="L279" i="10"/>
  <c r="O279" i="10" s="1"/>
  <c r="O9" i="10"/>
  <c r="P771" i="10"/>
  <c r="M770" i="10"/>
  <c r="P770" i="10" s="1"/>
  <c r="M44" i="9"/>
  <c r="M69" i="9"/>
  <c r="P69" i="9" s="1"/>
  <c r="I197" i="9"/>
  <c r="K197" i="9" s="1"/>
  <c r="K720" i="9"/>
  <c r="P120" i="10"/>
  <c r="O390" i="10"/>
  <c r="K729" i="8"/>
  <c r="O157" i="10"/>
  <c r="L155" i="10"/>
  <c r="O155" i="10" s="1"/>
  <c r="P738" i="10"/>
  <c r="M737" i="10"/>
  <c r="P737" i="10" s="1"/>
  <c r="P788" i="10"/>
  <c r="M786" i="10"/>
  <c r="P786" i="10" s="1"/>
  <c r="P807" i="10"/>
  <c r="M805" i="10"/>
  <c r="P805" i="10" s="1"/>
  <c r="K823" i="9"/>
  <c r="O29" i="10"/>
  <c r="L91" i="10"/>
  <c r="O91" i="10" s="1"/>
  <c r="L90" i="10"/>
  <c r="O93" i="10"/>
  <c r="O140" i="10"/>
  <c r="L134" i="10"/>
  <c r="M12" i="10"/>
  <c r="O15" i="10"/>
  <c r="N26" i="10"/>
  <c r="M29" i="10"/>
  <c r="N43" i="10"/>
  <c r="L26" i="10"/>
  <c r="N68" i="10"/>
  <c r="N66" i="10" s="1"/>
  <c r="M90" i="10"/>
  <c r="P96" i="10"/>
  <c r="K99" i="10"/>
  <c r="L121" i="10"/>
  <c r="N168" i="10"/>
  <c r="P168" i="10" s="1"/>
  <c r="P170" i="10"/>
  <c r="M449" i="10"/>
  <c r="O449" i="10"/>
  <c r="L446" i="10"/>
  <c r="O446" i="10" s="1"/>
  <c r="L33" i="10"/>
  <c r="L31" i="10" s="1"/>
  <c r="O31" i="10" s="1"/>
  <c r="O787" i="10"/>
  <c r="I785" i="10"/>
  <c r="K785" i="10" s="1"/>
  <c r="K800" i="10"/>
  <c r="O806" i="10"/>
  <c r="L805" i="10"/>
  <c r="O805" i="10" s="1"/>
  <c r="L55" i="10"/>
  <c r="L68" i="10"/>
  <c r="O74" i="10"/>
  <c r="L151" i="10"/>
  <c r="K826" i="9"/>
  <c r="L23" i="10"/>
  <c r="I76" i="10"/>
  <c r="I174" i="10"/>
  <c r="K176" i="10"/>
  <c r="L184" i="10"/>
  <c r="L183" i="10"/>
  <c r="L228" i="10"/>
  <c r="J288" i="10"/>
  <c r="J275" i="10" s="1"/>
  <c r="I275" i="10"/>
  <c r="K275" i="10" s="1"/>
  <c r="O407" i="10"/>
  <c r="L404" i="10"/>
  <c r="L405" i="10"/>
  <c r="O405" i="10" s="1"/>
  <c r="K438" i="10"/>
  <c r="L447" i="10"/>
  <c r="O447" i="10" s="1"/>
  <c r="M19" i="10"/>
  <c r="M34" i="10"/>
  <c r="P34" i="10" s="1"/>
  <c r="N55" i="10"/>
  <c r="N53" i="10" s="1"/>
  <c r="P137" i="10"/>
  <c r="M135" i="10"/>
  <c r="P135" i="10" s="1"/>
  <c r="K237" i="10"/>
  <c r="I226" i="10"/>
  <c r="K226" i="10" s="1"/>
  <c r="L263" i="10"/>
  <c r="I314" i="10"/>
  <c r="K314" i="10" s="1"/>
  <c r="L348" i="10"/>
  <c r="O348" i="10" s="1"/>
  <c r="O350" i="10"/>
  <c r="P397" i="10"/>
  <c r="M391" i="10"/>
  <c r="P391" i="10" s="1"/>
  <c r="M395" i="10"/>
  <c r="P395" i="10" s="1"/>
  <c r="L429" i="10"/>
  <c r="O429" i="10" s="1"/>
  <c r="L421" i="10"/>
  <c r="O431" i="10"/>
  <c r="L36" i="10"/>
  <c r="N44" i="10"/>
  <c r="P46" i="10"/>
  <c r="P133" i="10"/>
  <c r="L168" i="10"/>
  <c r="L167" i="10"/>
  <c r="N184" i="10"/>
  <c r="P184" i="10" s="1"/>
  <c r="P186" i="10"/>
  <c r="K216" i="10"/>
  <c r="N331" i="10"/>
  <c r="N330" i="10"/>
  <c r="M347" i="10"/>
  <c r="P350" i="10"/>
  <c r="M348" i="10"/>
  <c r="P348" i="10" s="1"/>
  <c r="P266" i="10"/>
  <c r="N264" i="10"/>
  <c r="P264" i="10" s="1"/>
  <c r="L331" i="10"/>
  <c r="L330" i="10"/>
  <c r="L328" i="10" s="1"/>
  <c r="I592" i="10"/>
  <c r="K592" i="10" s="1"/>
  <c r="K593" i="10"/>
  <c r="P333" i="10"/>
  <c r="M351" i="10"/>
  <c r="P353" i="10"/>
  <c r="I364" i="10"/>
  <c r="K364" i="10" s="1"/>
  <c r="K365" i="10"/>
  <c r="P403" i="10"/>
  <c r="K540" i="10"/>
  <c r="J537" i="10"/>
  <c r="J522" i="10" s="1"/>
  <c r="P631" i="10"/>
  <c r="M629" i="10"/>
  <c r="P629" i="10" s="1"/>
  <c r="P686" i="10"/>
  <c r="L198" i="10"/>
  <c r="O198" i="10" s="1"/>
  <c r="K236" i="10"/>
  <c r="O285" i="10"/>
  <c r="L318" i="10"/>
  <c r="O318" i="10" s="1"/>
  <c r="O333" i="10"/>
  <c r="O353" i="10"/>
  <c r="P390" i="10"/>
  <c r="O394" i="10"/>
  <c r="L392" i="10"/>
  <c r="O392" i="10" s="1"/>
  <c r="P469" i="10"/>
  <c r="M467" i="10"/>
  <c r="P467" i="10" s="1"/>
  <c r="P420" i="10"/>
  <c r="O424" i="10"/>
  <c r="L422" i="10"/>
  <c r="O422" i="10" s="1"/>
  <c r="O630" i="10"/>
  <c r="P755" i="10"/>
  <c r="M754" i="10"/>
  <c r="P754" i="10" s="1"/>
  <c r="O445" i="10"/>
  <c r="O468" i="10"/>
  <c r="P504" i="10"/>
  <c r="M502" i="10"/>
  <c r="P502" i="10" s="1"/>
  <c r="O397" i="10"/>
  <c r="L395" i="10"/>
  <c r="O395" i="10" s="1"/>
  <c r="L408" i="10"/>
  <c r="O408" i="10" s="1"/>
  <c r="N470" i="10"/>
  <c r="O503" i="10"/>
  <c r="L502" i="10"/>
  <c r="O502" i="10" s="1"/>
  <c r="O524" i="10"/>
  <c r="L533" i="10"/>
  <c r="O533" i="10" s="1"/>
  <c r="K675" i="10"/>
  <c r="L454" i="10"/>
  <c r="O454" i="10" s="1"/>
  <c r="L639" i="10"/>
  <c r="O639" i="10" s="1"/>
  <c r="L469" i="10"/>
  <c r="O469" i="10" s="1"/>
  <c r="L631" i="10"/>
  <c r="O631" i="10" s="1"/>
  <c r="P168" i="9"/>
  <c r="I297" i="9"/>
  <c r="K297" i="9" s="1"/>
  <c r="K309" i="9"/>
  <c r="N279" i="9"/>
  <c r="N277" i="9" s="1"/>
  <c r="N280" i="9"/>
  <c r="M405" i="9"/>
  <c r="P405" i="9" s="1"/>
  <c r="P407" i="9"/>
  <c r="L469" i="9"/>
  <c r="O469" i="9" s="1"/>
  <c r="O479" i="9"/>
  <c r="L477" i="9"/>
  <c r="O477" i="9" s="1"/>
  <c r="N151" i="8"/>
  <c r="N149" i="8" s="1"/>
  <c r="L183" i="7"/>
  <c r="L181" i="7" s="1"/>
  <c r="L300" i="7"/>
  <c r="O300" i="7" s="1"/>
  <c r="M90" i="9"/>
  <c r="M88" i="9" s="1"/>
  <c r="P93" i="9"/>
  <c r="M91" i="9"/>
  <c r="P91" i="9" s="1"/>
  <c r="L184" i="9"/>
  <c r="L183" i="9"/>
  <c r="I442" i="7"/>
  <c r="K442" i="7" s="1"/>
  <c r="M90" i="8"/>
  <c r="M88" i="8" s="1"/>
  <c r="K100" i="8"/>
  <c r="L168" i="8"/>
  <c r="O168" i="8" s="1"/>
  <c r="L263" i="8"/>
  <c r="L261" i="8" s="1"/>
  <c r="K673" i="8"/>
  <c r="O58" i="9"/>
  <c r="O93" i="9"/>
  <c r="M300" i="9"/>
  <c r="M298" i="9" s="1"/>
  <c r="P298" i="9" s="1"/>
  <c r="M391" i="9"/>
  <c r="P391" i="9" s="1"/>
  <c r="J537" i="9"/>
  <c r="J522" i="9" s="1"/>
  <c r="K726" i="9"/>
  <c r="K379" i="8"/>
  <c r="L238" i="9"/>
  <c r="O238" i="9" s="1"/>
  <c r="L404" i="8"/>
  <c r="O404" i="8" s="1"/>
  <c r="L392" i="9"/>
  <c r="O392" i="9" s="1"/>
  <c r="M549" i="9"/>
  <c r="M546" i="9" s="1"/>
  <c r="P546" i="9" s="1"/>
  <c r="K821" i="9"/>
  <c r="K824" i="9"/>
  <c r="K827" i="9"/>
  <c r="O170" i="9"/>
  <c r="P323" i="9"/>
  <c r="M334" i="9"/>
  <c r="P334" i="9" s="1"/>
  <c r="M392" i="9"/>
  <c r="P392" i="9" s="1"/>
  <c r="O410" i="9"/>
  <c r="L547" i="9"/>
  <c r="O547" i="9" s="1"/>
  <c r="O660" i="9"/>
  <c r="K823" i="7"/>
  <c r="N167" i="9"/>
  <c r="N165" i="9" s="1"/>
  <c r="O189" i="9"/>
  <c r="J327" i="9"/>
  <c r="K327" i="9" s="1"/>
  <c r="K725" i="9"/>
  <c r="K143" i="9"/>
  <c r="I131" i="9"/>
  <c r="K131" i="9" s="1"/>
  <c r="O269" i="9"/>
  <c r="L267" i="9"/>
  <c r="O267" i="9" s="1"/>
  <c r="L263" i="9"/>
  <c r="L261" i="9" s="1"/>
  <c r="K159" i="6"/>
  <c r="M549" i="8"/>
  <c r="M546" i="8" s="1"/>
  <c r="P546" i="8" s="1"/>
  <c r="K654" i="8"/>
  <c r="N263" i="9"/>
  <c r="N261" i="9" s="1"/>
  <c r="N264" i="9"/>
  <c r="O264" i="9" s="1"/>
  <c r="K288" i="9"/>
  <c r="I275" i="9"/>
  <c r="K275" i="9" s="1"/>
  <c r="L301" i="9"/>
  <c r="O301" i="9" s="1"/>
  <c r="O303" i="9"/>
  <c r="K576" i="9"/>
  <c r="I559" i="9"/>
  <c r="K215" i="9"/>
  <c r="I208" i="9"/>
  <c r="K208" i="9" s="1"/>
  <c r="M151" i="7"/>
  <c r="P151" i="7" s="1"/>
  <c r="L263" i="7"/>
  <c r="N90" i="8"/>
  <c r="N88" i="8" s="1"/>
  <c r="N279" i="8"/>
  <c r="N277" i="8" s="1"/>
  <c r="M304" i="8"/>
  <c r="P304" i="8" s="1"/>
  <c r="M408" i="8"/>
  <c r="P408" i="8" s="1"/>
  <c r="P410" i="8"/>
  <c r="I522" i="8"/>
  <c r="K522" i="8" s="1"/>
  <c r="O46" i="9"/>
  <c r="N43" i="9"/>
  <c r="P49" i="9"/>
  <c r="M26" i="9"/>
  <c r="M24" i="9" s="1"/>
  <c r="L94" i="9"/>
  <c r="O94" i="9" s="1"/>
  <c r="O96" i="9"/>
  <c r="I87" i="9"/>
  <c r="K87" i="9" s="1"/>
  <c r="K99" i="9"/>
  <c r="P127" i="9"/>
  <c r="M125" i="9"/>
  <c r="P125" i="9" s="1"/>
  <c r="L134" i="9"/>
  <c r="O140" i="9"/>
  <c r="K145" i="9"/>
  <c r="P186" i="9"/>
  <c r="M183" i="9"/>
  <c r="L209" i="9"/>
  <c r="O209" i="9" s="1"/>
  <c r="O323" i="9"/>
  <c r="L321" i="9"/>
  <c r="O321" i="9" s="1"/>
  <c r="L317" i="9"/>
  <c r="O317" i="9" s="1"/>
  <c r="K325" i="9"/>
  <c r="I314" i="9"/>
  <c r="K314" i="9" s="1"/>
  <c r="I76" i="7"/>
  <c r="K76" i="7" s="1"/>
  <c r="L59" i="8"/>
  <c r="O59" i="8" s="1"/>
  <c r="M68" i="8"/>
  <c r="M66" i="8" s="1"/>
  <c r="P66" i="8" s="1"/>
  <c r="M72" i="8"/>
  <c r="P72" i="8" s="1"/>
  <c r="K672" i="8"/>
  <c r="K675" i="8"/>
  <c r="L47" i="9"/>
  <c r="O47" i="9" s="1"/>
  <c r="M121" i="9"/>
  <c r="P121" i="9" s="1"/>
  <c r="P124" i="9"/>
  <c r="M122" i="9"/>
  <c r="P122" i="9" s="1"/>
  <c r="M155" i="9"/>
  <c r="P155" i="9" s="1"/>
  <c r="K271" i="9"/>
  <c r="I260" i="9"/>
  <c r="K260" i="9" s="1"/>
  <c r="O285" i="9"/>
  <c r="L279" i="9"/>
  <c r="L283" i="9"/>
  <c r="O283" i="9" s="1"/>
  <c r="M318" i="9"/>
  <c r="P318" i="9" s="1"/>
  <c r="M317" i="9"/>
  <c r="P317" i="9" s="1"/>
  <c r="L330" i="9"/>
  <c r="L328" i="9" s="1"/>
  <c r="O336" i="9"/>
  <c r="L334" i="9"/>
  <c r="O334" i="9" s="1"/>
  <c r="P397" i="9"/>
  <c r="M395" i="9"/>
  <c r="P395" i="9" s="1"/>
  <c r="L168" i="9"/>
  <c r="O168" i="9" s="1"/>
  <c r="L167" i="9"/>
  <c r="O152" i="6"/>
  <c r="N263" i="7"/>
  <c r="N261" i="7" s="1"/>
  <c r="I433" i="8"/>
  <c r="I417" i="8" s="1"/>
  <c r="L55" i="9"/>
  <c r="L53" i="9" s="1"/>
  <c r="M55" i="9"/>
  <c r="M53" i="9" s="1"/>
  <c r="P61" i="9"/>
  <c r="M59" i="9"/>
  <c r="P59" i="9" s="1"/>
  <c r="O71" i="9"/>
  <c r="L68" i="9"/>
  <c r="M94" i="9"/>
  <c r="P94" i="9" s="1"/>
  <c r="K159" i="9"/>
  <c r="I148" i="9"/>
  <c r="K148" i="9" s="1"/>
  <c r="M167" i="9"/>
  <c r="M171" i="9"/>
  <c r="P171" i="9" s="1"/>
  <c r="N184" i="9"/>
  <c r="P184" i="9" s="1"/>
  <c r="O528" i="9"/>
  <c r="L33" i="9"/>
  <c r="K539" i="9"/>
  <c r="P69" i="6"/>
  <c r="N300" i="7"/>
  <c r="N298" i="7" s="1"/>
  <c r="L90" i="8"/>
  <c r="I276" i="8"/>
  <c r="K276" i="8" s="1"/>
  <c r="K708" i="8"/>
  <c r="K822" i="8"/>
  <c r="K825" i="8"/>
  <c r="K828" i="8"/>
  <c r="L90" i="9"/>
  <c r="M134" i="9"/>
  <c r="P134" i="9" s="1"/>
  <c r="M138" i="9"/>
  <c r="P138" i="9" s="1"/>
  <c r="L151" i="9"/>
  <c r="O151" i="9" s="1"/>
  <c r="N171" i="9"/>
  <c r="K193" i="9"/>
  <c r="I190" i="9"/>
  <c r="K190" i="9" s="1"/>
  <c r="M280" i="9"/>
  <c r="P280" i="9" s="1"/>
  <c r="M304" i="9"/>
  <c r="P304" i="9" s="1"/>
  <c r="N318" i="9"/>
  <c r="M330" i="9"/>
  <c r="J721" i="8"/>
  <c r="K721" i="8" s="1"/>
  <c r="O91" i="9"/>
  <c r="N151" i="9"/>
  <c r="N149" i="9" s="1"/>
  <c r="O173" i="9"/>
  <c r="O186" i="9"/>
  <c r="L249" i="9"/>
  <c r="O249" i="9" s="1"/>
  <c r="P46" i="9"/>
  <c r="L198" i="9"/>
  <c r="O198" i="9" s="1"/>
  <c r="K728" i="9"/>
  <c r="P348" i="9"/>
  <c r="K100" i="9"/>
  <c r="J143" i="9"/>
  <c r="J131" i="9" s="1"/>
  <c r="L217" i="9"/>
  <c r="O217" i="9" s="1"/>
  <c r="L229" i="9"/>
  <c r="K338" i="9"/>
  <c r="O424" i="9"/>
  <c r="I654" i="9"/>
  <c r="K654" i="9" s="1"/>
  <c r="K822" i="9"/>
  <c r="K825" i="9"/>
  <c r="K828" i="9"/>
  <c r="O12" i="9"/>
  <c r="L9" i="9"/>
  <c r="O299" i="9"/>
  <c r="M408" i="9"/>
  <c r="P408" i="9" s="1"/>
  <c r="P410" i="9"/>
  <c r="O431" i="9"/>
  <c r="L36" i="9"/>
  <c r="O630" i="9"/>
  <c r="P350" i="6"/>
  <c r="I174" i="7"/>
  <c r="K174" i="7" s="1"/>
  <c r="P93" i="8"/>
  <c r="L135" i="8"/>
  <c r="O135" i="8" s="1"/>
  <c r="N134" i="8"/>
  <c r="N132" i="8" s="1"/>
  <c r="M317" i="8"/>
  <c r="P317" i="8" s="1"/>
  <c r="P320" i="8"/>
  <c r="P323" i="8"/>
  <c r="L547" i="8"/>
  <c r="O547" i="8" s="1"/>
  <c r="K824" i="8"/>
  <c r="N26" i="9"/>
  <c r="N44" i="9"/>
  <c r="N23" i="9"/>
  <c r="K174" i="9"/>
  <c r="I164" i="9"/>
  <c r="K164" i="9" s="1"/>
  <c r="K255" i="9"/>
  <c r="O266" i="9"/>
  <c r="O350" i="9"/>
  <c r="L347" i="9"/>
  <c r="O397" i="9"/>
  <c r="L391" i="9"/>
  <c r="P771" i="9"/>
  <c r="M770" i="9"/>
  <c r="P770" i="9" s="1"/>
  <c r="P788" i="9"/>
  <c r="M786" i="9"/>
  <c r="P786" i="9" s="1"/>
  <c r="L68" i="8"/>
  <c r="L66" i="8" s="1"/>
  <c r="O66" i="8" s="1"/>
  <c r="M135" i="8"/>
  <c r="P135" i="8" s="1"/>
  <c r="L283" i="8"/>
  <c r="O283" i="8" s="1"/>
  <c r="N300" i="8"/>
  <c r="N298" i="8" s="1"/>
  <c r="K594" i="8"/>
  <c r="N30" i="9"/>
  <c r="N28" i="9" s="1"/>
  <c r="N31" i="9"/>
  <c r="I112" i="9"/>
  <c r="K112" i="9" s="1"/>
  <c r="K116" i="9"/>
  <c r="L122" i="9"/>
  <c r="O122" i="9" s="1"/>
  <c r="I233" i="9"/>
  <c r="K233" i="9" s="1"/>
  <c r="M264" i="9"/>
  <c r="P266" i="9"/>
  <c r="M23" i="9"/>
  <c r="M21" i="9" s="1"/>
  <c r="L304" i="9"/>
  <c r="O304" i="9" s="1"/>
  <c r="O306" i="9"/>
  <c r="N469" i="9"/>
  <c r="N470" i="9"/>
  <c r="P755" i="9"/>
  <c r="M754" i="9"/>
  <c r="P754" i="9" s="1"/>
  <c r="L788" i="7"/>
  <c r="O788" i="7" s="1"/>
  <c r="O46" i="8"/>
  <c r="N121" i="8"/>
  <c r="N119" i="8" s="1"/>
  <c r="M138" i="8"/>
  <c r="P138" i="8" s="1"/>
  <c r="I260" i="8"/>
  <c r="K260" i="8" s="1"/>
  <c r="N263" i="8"/>
  <c r="N261" i="8" s="1"/>
  <c r="N283" i="8"/>
  <c r="I443" i="8"/>
  <c r="K443" i="8" s="1"/>
  <c r="M9" i="9"/>
  <c r="P15" i="9"/>
  <c r="P19" i="9"/>
  <c r="O32" i="9"/>
  <c r="L29" i="9"/>
  <c r="I76" i="9"/>
  <c r="K80" i="9"/>
  <c r="P262" i="9"/>
  <c r="M283" i="9"/>
  <c r="P283" i="9" s="1"/>
  <c r="P285" i="9"/>
  <c r="O316" i="9"/>
  <c r="N331" i="9"/>
  <c r="N330" i="9"/>
  <c r="N328" i="9" s="1"/>
  <c r="O353" i="9"/>
  <c r="M404" i="9"/>
  <c r="K435" i="9"/>
  <c r="J433" i="9"/>
  <c r="J417" i="9" s="1"/>
  <c r="I433" i="9"/>
  <c r="I434" i="9"/>
  <c r="K440" i="9"/>
  <c r="L47" i="7"/>
  <c r="O47" i="7" s="1"/>
  <c r="M135" i="7"/>
  <c r="P135" i="7" s="1"/>
  <c r="M138" i="7"/>
  <c r="P138" i="7" s="1"/>
  <c r="L230" i="8"/>
  <c r="M347" i="8"/>
  <c r="M345" i="8" s="1"/>
  <c r="L347" i="8"/>
  <c r="L345" i="8" s="1"/>
  <c r="M404" i="8"/>
  <c r="M402" i="8" s="1"/>
  <c r="P402" i="8" s="1"/>
  <c r="P12" i="9"/>
  <c r="P25" i="9"/>
  <c r="P32" i="9"/>
  <c r="M29" i="9"/>
  <c r="L26" i="9"/>
  <c r="O61" i="9"/>
  <c r="I77" i="9"/>
  <c r="L121" i="9"/>
  <c r="L125" i="9"/>
  <c r="O125" i="9" s="1"/>
  <c r="N134" i="9"/>
  <c r="N132" i="9" s="1"/>
  <c r="K144" i="9"/>
  <c r="L152" i="9"/>
  <c r="O152" i="9" s="1"/>
  <c r="M267" i="9"/>
  <c r="P267" i="9" s="1"/>
  <c r="P269" i="9"/>
  <c r="O333" i="9"/>
  <c r="P353" i="9"/>
  <c r="K462" i="9"/>
  <c r="I443" i="9"/>
  <c r="K443" i="9" s="1"/>
  <c r="N467" i="9"/>
  <c r="L15" i="9"/>
  <c r="L23" i="9"/>
  <c r="L21" i="9" s="1"/>
  <c r="L56" i="9"/>
  <c r="N68" i="9"/>
  <c r="N66" i="9" s="1"/>
  <c r="P346" i="9"/>
  <c r="O403" i="9"/>
  <c r="O456" i="9"/>
  <c r="L446" i="9"/>
  <c r="N631" i="9"/>
  <c r="N632" i="9"/>
  <c r="P807" i="9"/>
  <c r="M805" i="9"/>
  <c r="P805" i="9" s="1"/>
  <c r="N12" i="9"/>
  <c r="N56" i="9"/>
  <c r="P56" i="9" s="1"/>
  <c r="P320" i="9"/>
  <c r="K340" i="9"/>
  <c r="P350" i="9"/>
  <c r="I364" i="9"/>
  <c r="K364" i="9" s="1"/>
  <c r="L421" i="9"/>
  <c r="O468" i="9"/>
  <c r="I785" i="9"/>
  <c r="K785" i="9" s="1"/>
  <c r="K800" i="9"/>
  <c r="O806" i="9"/>
  <c r="L805" i="9"/>
  <c r="O805" i="9" s="1"/>
  <c r="N629" i="9"/>
  <c r="P686" i="9"/>
  <c r="O787" i="9"/>
  <c r="I237" i="9"/>
  <c r="M421" i="9"/>
  <c r="P424" i="9"/>
  <c r="O503" i="9"/>
  <c r="L502" i="9"/>
  <c r="O502" i="9" s="1"/>
  <c r="K723" i="9"/>
  <c r="P738" i="9"/>
  <c r="M737" i="9"/>
  <c r="P737" i="9" s="1"/>
  <c r="N789" i="9"/>
  <c r="M279" i="9"/>
  <c r="J288" i="9"/>
  <c r="J275" i="9" s="1"/>
  <c r="L300" i="9"/>
  <c r="O300" i="9" s="1"/>
  <c r="P333" i="9"/>
  <c r="N347" i="9"/>
  <c r="N345" i="9" s="1"/>
  <c r="I592" i="9"/>
  <c r="K592" i="9" s="1"/>
  <c r="K593" i="9"/>
  <c r="P631" i="9"/>
  <c r="M629" i="9"/>
  <c r="P629" i="9" s="1"/>
  <c r="O472" i="9"/>
  <c r="L533" i="9"/>
  <c r="O533" i="9" s="1"/>
  <c r="O634" i="9"/>
  <c r="K675" i="9"/>
  <c r="O791" i="9"/>
  <c r="L525" i="9"/>
  <c r="K672" i="9"/>
  <c r="L688" i="9"/>
  <c r="O688" i="9" s="1"/>
  <c r="M690" i="9"/>
  <c r="K669" i="9"/>
  <c r="K673" i="9"/>
  <c r="L687" i="9"/>
  <c r="M183" i="7"/>
  <c r="M181" i="7" s="1"/>
  <c r="N135" i="8"/>
  <c r="K146" i="8"/>
  <c r="I216" i="8"/>
  <c r="K216" i="8" s="1"/>
  <c r="L317" i="8"/>
  <c r="O317" i="8" s="1"/>
  <c r="K374" i="8"/>
  <c r="N404" i="8"/>
  <c r="N402" i="8" s="1"/>
  <c r="L231" i="7"/>
  <c r="O333" i="7"/>
  <c r="J327" i="7"/>
  <c r="K327" i="7" s="1"/>
  <c r="P266" i="8"/>
  <c r="M348" i="8"/>
  <c r="M405" i="8"/>
  <c r="P405" i="8" s="1"/>
  <c r="K725" i="8"/>
  <c r="K823" i="8"/>
  <c r="L264" i="7"/>
  <c r="N68" i="8"/>
  <c r="N66" i="8" s="1"/>
  <c r="L26" i="8"/>
  <c r="L24" i="8" s="1"/>
  <c r="I208" i="8"/>
  <c r="K208" i="8" s="1"/>
  <c r="O280" i="8"/>
  <c r="K385" i="8"/>
  <c r="L639" i="8"/>
  <c r="O639" i="8" s="1"/>
  <c r="N168" i="8"/>
  <c r="L171" i="8"/>
  <c r="O171" i="8" s="1"/>
  <c r="N184" i="8"/>
  <c r="O184" i="8" s="1"/>
  <c r="L187" i="8"/>
  <c r="O187" i="8" s="1"/>
  <c r="M279" i="8"/>
  <c r="M277" i="8" s="1"/>
  <c r="J288" i="8"/>
  <c r="J275" i="8" s="1"/>
  <c r="K275" i="8" s="1"/>
  <c r="N304" i="8"/>
  <c r="N317" i="8"/>
  <c r="N315" i="8" s="1"/>
  <c r="P58" i="8"/>
  <c r="L217" i="8"/>
  <c r="O217" i="8" s="1"/>
  <c r="I237" i="8"/>
  <c r="K237" i="8" s="1"/>
  <c r="L279" i="8"/>
  <c r="L277" i="8" s="1"/>
  <c r="L321" i="8"/>
  <c r="O321" i="8" s="1"/>
  <c r="N330" i="8"/>
  <c r="N328" i="8" s="1"/>
  <c r="M395" i="8"/>
  <c r="P395" i="8" s="1"/>
  <c r="N391" i="8"/>
  <c r="N389" i="8" s="1"/>
  <c r="O687" i="8"/>
  <c r="L685" i="8"/>
  <c r="O685" i="8" s="1"/>
  <c r="M47" i="8"/>
  <c r="P47" i="8" s="1"/>
  <c r="I297" i="8"/>
  <c r="K297" i="8" s="1"/>
  <c r="K309" i="8"/>
  <c r="J721" i="6"/>
  <c r="K721" i="6" s="1"/>
  <c r="L279" i="7"/>
  <c r="O279" i="7" s="1"/>
  <c r="M43" i="8"/>
  <c r="N72" i="8"/>
  <c r="K159" i="8"/>
  <c r="N331" i="8"/>
  <c r="P331" i="8" s="1"/>
  <c r="O407" i="8"/>
  <c r="L405" i="8"/>
  <c r="O405" i="8" s="1"/>
  <c r="O528" i="8"/>
  <c r="L525" i="8"/>
  <c r="O525" i="8" s="1"/>
  <c r="M59" i="8"/>
  <c r="P59" i="8" s="1"/>
  <c r="O479" i="8"/>
  <c r="L477" i="8"/>
  <c r="O477" i="8" s="1"/>
  <c r="N167" i="7"/>
  <c r="N165" i="7" s="1"/>
  <c r="K359" i="7"/>
  <c r="J722" i="7"/>
  <c r="M26" i="8"/>
  <c r="M24" i="8" s="1"/>
  <c r="N43" i="8"/>
  <c r="N41" i="8" s="1"/>
  <c r="P46" i="8"/>
  <c r="L55" i="8"/>
  <c r="L53" i="8" s="1"/>
  <c r="I77" i="8"/>
  <c r="K77" i="8" s="1"/>
  <c r="M91" i="8"/>
  <c r="P91" i="8" s="1"/>
  <c r="L134" i="8"/>
  <c r="P170" i="8"/>
  <c r="L198" i="8"/>
  <c r="O198" i="8" s="1"/>
  <c r="L209" i="8"/>
  <c r="O209" i="8" s="1"/>
  <c r="L318" i="8"/>
  <c r="O318" i="8" s="1"/>
  <c r="O320" i="8"/>
  <c r="J327" i="8"/>
  <c r="K327" i="8" s="1"/>
  <c r="I364" i="8"/>
  <c r="J364" i="8"/>
  <c r="O456" i="8"/>
  <c r="L454" i="8"/>
  <c r="O454" i="8" s="1"/>
  <c r="L688" i="8"/>
  <c r="K826" i="8"/>
  <c r="N167" i="6"/>
  <c r="N165" i="6" s="1"/>
  <c r="J364" i="7"/>
  <c r="L688" i="7"/>
  <c r="O688" i="7" s="1"/>
  <c r="L44" i="8"/>
  <c r="O44" i="8" s="1"/>
  <c r="M55" i="8"/>
  <c r="M53" i="8" s="1"/>
  <c r="M134" i="8"/>
  <c r="O140" i="8"/>
  <c r="P189" i="8"/>
  <c r="P303" i="8"/>
  <c r="M301" i="8"/>
  <c r="P301" i="8" s="1"/>
  <c r="O353" i="8"/>
  <c r="L351" i="8"/>
  <c r="O351" i="8" s="1"/>
  <c r="P394" i="8"/>
  <c r="M392" i="8"/>
  <c r="P392" i="8" s="1"/>
  <c r="M391" i="8"/>
  <c r="P391" i="8" s="1"/>
  <c r="O410" i="8"/>
  <c r="L408" i="8"/>
  <c r="O408" i="8" s="1"/>
  <c r="L477" i="6"/>
  <c r="O477" i="6" s="1"/>
  <c r="P186" i="8"/>
  <c r="M184" i="8"/>
  <c r="L125" i="7"/>
  <c r="O125" i="7" s="1"/>
  <c r="N183" i="7"/>
  <c r="N317" i="7"/>
  <c r="N315" i="7" s="1"/>
  <c r="N347" i="7"/>
  <c r="N345" i="7" s="1"/>
  <c r="K381" i="7"/>
  <c r="L395" i="7"/>
  <c r="O395" i="7" s="1"/>
  <c r="M44" i="8"/>
  <c r="P44" i="8" s="1"/>
  <c r="M56" i="8"/>
  <c r="P56" i="8" s="1"/>
  <c r="M69" i="8"/>
  <c r="P69" i="8" s="1"/>
  <c r="I76" i="8"/>
  <c r="K76" i="8" s="1"/>
  <c r="I112" i="8"/>
  <c r="K112" i="8" s="1"/>
  <c r="P157" i="8"/>
  <c r="M155" i="8"/>
  <c r="P155" i="8" s="1"/>
  <c r="L167" i="8"/>
  <c r="P173" i="8"/>
  <c r="I190" i="8"/>
  <c r="K190" i="8" s="1"/>
  <c r="L238" i="8"/>
  <c r="O238" i="8" s="1"/>
  <c r="N348" i="8"/>
  <c r="N347" i="8"/>
  <c r="N345" i="8" s="1"/>
  <c r="N405" i="8"/>
  <c r="L469" i="8"/>
  <c r="O469" i="8" s="1"/>
  <c r="M690" i="8"/>
  <c r="K827" i="8"/>
  <c r="I197" i="5"/>
  <c r="K197" i="5" s="1"/>
  <c r="L231" i="6"/>
  <c r="L43" i="8"/>
  <c r="L41" i="8" s="1"/>
  <c r="M167" i="8"/>
  <c r="M183" i="8"/>
  <c r="O186" i="8"/>
  <c r="L183" i="8"/>
  <c r="L229" i="8"/>
  <c r="P351" i="8"/>
  <c r="I442" i="8"/>
  <c r="K442" i="8" s="1"/>
  <c r="K460" i="8"/>
  <c r="L249" i="8"/>
  <c r="O249" i="8" s="1"/>
  <c r="O333" i="8"/>
  <c r="O350" i="8"/>
  <c r="K674" i="8"/>
  <c r="K701" i="8"/>
  <c r="L300" i="8"/>
  <c r="P333" i="8"/>
  <c r="P350" i="8"/>
  <c r="K381" i="8"/>
  <c r="K669" i="8"/>
  <c r="K723" i="8"/>
  <c r="K726" i="8"/>
  <c r="K821" i="8"/>
  <c r="P353" i="8"/>
  <c r="L631" i="8"/>
  <c r="O634" i="8"/>
  <c r="K720" i="8"/>
  <c r="N121" i="7"/>
  <c r="N119" i="7" s="1"/>
  <c r="L125" i="8"/>
  <c r="O125" i="8" s="1"/>
  <c r="O127" i="8"/>
  <c r="K145" i="8"/>
  <c r="I143" i="8"/>
  <c r="L152" i="8"/>
  <c r="O152" i="8" s="1"/>
  <c r="O154" i="8"/>
  <c r="O262" i="8"/>
  <c r="L267" i="8"/>
  <c r="O267" i="8" s="1"/>
  <c r="O269" i="8"/>
  <c r="L392" i="8"/>
  <c r="O392" i="8" s="1"/>
  <c r="O394" i="8"/>
  <c r="P424" i="8"/>
  <c r="M421" i="8"/>
  <c r="P421" i="8" s="1"/>
  <c r="L429" i="8"/>
  <c r="O429" i="8" s="1"/>
  <c r="L36" i="8"/>
  <c r="O545" i="8"/>
  <c r="N55" i="5"/>
  <c r="N53" i="5" s="1"/>
  <c r="I275" i="5"/>
  <c r="I276" i="7"/>
  <c r="K276" i="7" s="1"/>
  <c r="N279" i="7"/>
  <c r="N277" i="7" s="1"/>
  <c r="K340" i="7"/>
  <c r="K647" i="7"/>
  <c r="L72" i="8"/>
  <c r="O72" i="8" s="1"/>
  <c r="K81" i="8"/>
  <c r="L91" i="8"/>
  <c r="O91" i="8" s="1"/>
  <c r="O93" i="8"/>
  <c r="K98" i="8"/>
  <c r="O120" i="8"/>
  <c r="M122" i="8"/>
  <c r="P122" i="8" s="1"/>
  <c r="L155" i="8"/>
  <c r="O155" i="8" s="1"/>
  <c r="O157" i="8"/>
  <c r="M264" i="8"/>
  <c r="P264" i="8" s="1"/>
  <c r="M422" i="8"/>
  <c r="P422" i="8" s="1"/>
  <c r="O431" i="8"/>
  <c r="M545" i="8"/>
  <c r="L658" i="8"/>
  <c r="O658" i="8" s="1"/>
  <c r="O660" i="8"/>
  <c r="M660" i="8"/>
  <c r="L33" i="8"/>
  <c r="O787" i="8"/>
  <c r="L786" i="8"/>
  <c r="O786" i="8" s="1"/>
  <c r="L230" i="6"/>
  <c r="N330" i="6"/>
  <c r="N328" i="6" s="1"/>
  <c r="K78" i="7"/>
  <c r="I112" i="7"/>
  <c r="K112" i="7" s="1"/>
  <c r="L155" i="7"/>
  <c r="O155" i="7" s="1"/>
  <c r="L330" i="7"/>
  <c r="L328" i="7" s="1"/>
  <c r="K360" i="7"/>
  <c r="N26" i="8"/>
  <c r="N16" i="8" s="1"/>
  <c r="N14" i="8" s="1"/>
  <c r="O58" i="8"/>
  <c r="K78" i="8"/>
  <c r="K86" i="8"/>
  <c r="O89" i="8"/>
  <c r="L94" i="8"/>
  <c r="O94" i="8" s="1"/>
  <c r="O96" i="8"/>
  <c r="M125" i="8"/>
  <c r="P125" i="8" s="1"/>
  <c r="O150" i="8"/>
  <c r="M152" i="8"/>
  <c r="P152" i="8" s="1"/>
  <c r="M267" i="8"/>
  <c r="P267" i="8" s="1"/>
  <c r="I314" i="8"/>
  <c r="K314" i="8" s="1"/>
  <c r="O336" i="8"/>
  <c r="L330" i="8"/>
  <c r="J722" i="8"/>
  <c r="K722" i="8" s="1"/>
  <c r="K728" i="8"/>
  <c r="O61" i="7"/>
  <c r="N68" i="7"/>
  <c r="N66" i="7" s="1"/>
  <c r="M72" i="7"/>
  <c r="P72" i="7" s="1"/>
  <c r="P170" i="7"/>
  <c r="L331" i="7"/>
  <c r="O331" i="7" s="1"/>
  <c r="N404" i="7"/>
  <c r="N402" i="7" s="1"/>
  <c r="N12" i="8"/>
  <c r="L23" i="8"/>
  <c r="M280" i="8"/>
  <c r="P280" i="8" s="1"/>
  <c r="P282" i="8"/>
  <c r="M300" i="8"/>
  <c r="L301" i="8"/>
  <c r="O301" i="8" s="1"/>
  <c r="O303" i="8"/>
  <c r="P336" i="8"/>
  <c r="M330" i="8"/>
  <c r="M334" i="8"/>
  <c r="P334" i="8" s="1"/>
  <c r="O420" i="8"/>
  <c r="M171" i="6"/>
  <c r="P171" i="6" s="1"/>
  <c r="O189" i="7"/>
  <c r="L230" i="7"/>
  <c r="O353" i="7"/>
  <c r="L408" i="7"/>
  <c r="O408" i="7" s="1"/>
  <c r="K649" i="7"/>
  <c r="L9" i="8"/>
  <c r="L15" i="8"/>
  <c r="M23" i="8"/>
  <c r="L29" i="8"/>
  <c r="N31" i="8"/>
  <c r="N55" i="8"/>
  <c r="L69" i="8"/>
  <c r="O69" i="8" s="1"/>
  <c r="M94" i="8"/>
  <c r="P94" i="8" s="1"/>
  <c r="J143" i="8"/>
  <c r="J131" i="8" s="1"/>
  <c r="L231" i="8"/>
  <c r="K255" i="8"/>
  <c r="I248" i="8"/>
  <c r="I233" i="8"/>
  <c r="K233" i="8" s="1"/>
  <c r="O299" i="8"/>
  <c r="L304" i="8"/>
  <c r="O304" i="8" s="1"/>
  <c r="O306" i="8"/>
  <c r="J592" i="8"/>
  <c r="K592" i="8" s="1"/>
  <c r="K593" i="8"/>
  <c r="O755" i="8"/>
  <c r="L754" i="8"/>
  <c r="O754" i="8" s="1"/>
  <c r="K701" i="6"/>
  <c r="L94" i="7"/>
  <c r="O94" i="7" s="1"/>
  <c r="N168" i="7"/>
  <c r="O168" i="7" s="1"/>
  <c r="M171" i="7"/>
  <c r="P171" i="7" s="1"/>
  <c r="P353" i="7"/>
  <c r="K362" i="7"/>
  <c r="I559" i="7"/>
  <c r="K559" i="7" s="1"/>
  <c r="M9" i="8"/>
  <c r="M15" i="8"/>
  <c r="N23" i="8"/>
  <c r="M29" i="8"/>
  <c r="M34" i="8"/>
  <c r="P34" i="8" s="1"/>
  <c r="M121" i="8"/>
  <c r="L122" i="8"/>
  <c r="O122" i="8" s="1"/>
  <c r="O124" i="8"/>
  <c r="L151" i="8"/>
  <c r="O151" i="8" s="1"/>
  <c r="L228" i="8"/>
  <c r="M263" i="8"/>
  <c r="L264" i="8"/>
  <c r="O264" i="8" s="1"/>
  <c r="O266" i="8"/>
  <c r="P278" i="8"/>
  <c r="M283" i="8"/>
  <c r="P283" i="8" s="1"/>
  <c r="P285" i="8"/>
  <c r="L391" i="8"/>
  <c r="O391" i="8" s="1"/>
  <c r="L421" i="8"/>
  <c r="O421" i="8" s="1"/>
  <c r="I559" i="8"/>
  <c r="K576" i="8"/>
  <c r="P686" i="8"/>
  <c r="P755" i="8"/>
  <c r="M754" i="8"/>
  <c r="P754" i="8" s="1"/>
  <c r="O282" i="8"/>
  <c r="O346" i="8"/>
  <c r="L395" i="8"/>
  <c r="O395" i="8" s="1"/>
  <c r="O397" i="8"/>
  <c r="N544" i="8"/>
  <c r="N414" i="8" s="1"/>
  <c r="O656" i="8"/>
  <c r="L655" i="8"/>
  <c r="O655" i="8" s="1"/>
  <c r="N685" i="8"/>
  <c r="O690" i="8"/>
  <c r="N688" i="8"/>
  <c r="L737" i="8"/>
  <c r="O737" i="8" s="1"/>
  <c r="L770" i="8"/>
  <c r="O770" i="8" s="1"/>
  <c r="L331" i="8"/>
  <c r="O390" i="8"/>
  <c r="O446" i="8"/>
  <c r="L444" i="8"/>
  <c r="O444" i="8" s="1"/>
  <c r="J537" i="8"/>
  <c r="J522" i="8" s="1"/>
  <c r="I785" i="8"/>
  <c r="K785" i="8" s="1"/>
  <c r="K800" i="8"/>
  <c r="I197" i="8"/>
  <c r="K197" i="8" s="1"/>
  <c r="I434" i="8"/>
  <c r="O449" i="8"/>
  <c r="M449" i="8"/>
  <c r="L526" i="8"/>
  <c r="O526" i="8" s="1"/>
  <c r="K538" i="8"/>
  <c r="P738" i="8"/>
  <c r="M737" i="8"/>
  <c r="P737" i="8" s="1"/>
  <c r="P771" i="8"/>
  <c r="M770" i="8"/>
  <c r="P770" i="8" s="1"/>
  <c r="L789" i="8"/>
  <c r="O789" i="8" s="1"/>
  <c r="O791" i="8"/>
  <c r="O806" i="8"/>
  <c r="L805" i="8"/>
  <c r="O805" i="8" s="1"/>
  <c r="L422" i="8"/>
  <c r="O422" i="8" s="1"/>
  <c r="O424" i="8"/>
  <c r="L447" i="8"/>
  <c r="O447" i="8" s="1"/>
  <c r="O535" i="8"/>
  <c r="L555" i="8"/>
  <c r="O555" i="8" s="1"/>
  <c r="L546" i="8"/>
  <c r="O546" i="8" s="1"/>
  <c r="I628" i="8"/>
  <c r="K628" i="8" s="1"/>
  <c r="K651" i="8"/>
  <c r="M805" i="8"/>
  <c r="P805" i="8" s="1"/>
  <c r="J433" i="8"/>
  <c r="M317" i="5"/>
  <c r="M315" i="5" s="1"/>
  <c r="K669" i="5"/>
  <c r="N331" i="6"/>
  <c r="P331" i="6" s="1"/>
  <c r="L69" i="7"/>
  <c r="O69" i="7" s="1"/>
  <c r="I77" i="7"/>
  <c r="O93" i="7"/>
  <c r="L151" i="7"/>
  <c r="O151" i="7" s="1"/>
  <c r="M279" i="7"/>
  <c r="P279" i="7" s="1"/>
  <c r="L334" i="7"/>
  <c r="O334" i="7" s="1"/>
  <c r="K370" i="7"/>
  <c r="O660" i="7"/>
  <c r="I297" i="6"/>
  <c r="K297" i="6" s="1"/>
  <c r="P56" i="7"/>
  <c r="M283" i="7"/>
  <c r="P283" i="7" s="1"/>
  <c r="L321" i="7"/>
  <c r="O321" i="7" s="1"/>
  <c r="M392" i="7"/>
  <c r="P392" i="7" s="1"/>
  <c r="L36" i="7"/>
  <c r="O36" i="7" s="1"/>
  <c r="M408" i="7"/>
  <c r="P408" i="7" s="1"/>
  <c r="P264" i="6"/>
  <c r="N90" i="7"/>
  <c r="N88" i="7" s="1"/>
  <c r="O124" i="7"/>
  <c r="M134" i="7"/>
  <c r="P134" i="7" s="1"/>
  <c r="L301" i="7"/>
  <c r="O301" i="7" s="1"/>
  <c r="O303" i="7"/>
  <c r="K338" i="7"/>
  <c r="K379" i="7"/>
  <c r="M404" i="7"/>
  <c r="P404" i="7" s="1"/>
  <c r="L657" i="7"/>
  <c r="K672" i="7"/>
  <c r="K369" i="7"/>
  <c r="K372" i="7"/>
  <c r="K651" i="7"/>
  <c r="L639" i="7"/>
  <c r="O639" i="7" s="1"/>
  <c r="P301" i="6"/>
  <c r="N59" i="7"/>
  <c r="O59" i="7" s="1"/>
  <c r="L68" i="7"/>
  <c r="O68" i="7" s="1"/>
  <c r="L209" i="7"/>
  <c r="O209" i="7" s="1"/>
  <c r="L317" i="7"/>
  <c r="O317" i="7" s="1"/>
  <c r="N330" i="7"/>
  <c r="N328" i="7" s="1"/>
  <c r="K385" i="7"/>
  <c r="O140" i="6"/>
  <c r="L138" i="6"/>
  <c r="O138" i="6" s="1"/>
  <c r="O269" i="6"/>
  <c r="L267" i="6"/>
  <c r="O267" i="6" s="1"/>
  <c r="L56" i="7"/>
  <c r="O56" i="7" s="1"/>
  <c r="L55" i="7"/>
  <c r="L53" i="7" s="1"/>
  <c r="P96" i="7"/>
  <c r="M94" i="7"/>
  <c r="P94" i="7" s="1"/>
  <c r="O74" i="6"/>
  <c r="L72" i="6"/>
  <c r="O72" i="6" s="1"/>
  <c r="P49" i="7"/>
  <c r="M47" i="7"/>
  <c r="P47" i="7" s="1"/>
  <c r="O71" i="6"/>
  <c r="L69" i="6"/>
  <c r="O69" i="6" s="1"/>
  <c r="N26" i="7"/>
  <c r="I190" i="7"/>
  <c r="K190" i="7" s="1"/>
  <c r="N264" i="7"/>
  <c r="O266" i="7"/>
  <c r="N301" i="7"/>
  <c r="M347" i="7"/>
  <c r="M345" i="7" s="1"/>
  <c r="M405" i="7"/>
  <c r="P405" i="7" s="1"/>
  <c r="O431" i="7"/>
  <c r="M472" i="7"/>
  <c r="P472" i="7" s="1"/>
  <c r="K537" i="7"/>
  <c r="M549" i="7"/>
  <c r="K628" i="7"/>
  <c r="O634" i="7"/>
  <c r="L43" i="4"/>
  <c r="L41" i="4" s="1"/>
  <c r="M151" i="5"/>
  <c r="P151" i="5" s="1"/>
  <c r="M55" i="6"/>
  <c r="M53" i="6" s="1"/>
  <c r="L283" i="6"/>
  <c r="O283" i="6" s="1"/>
  <c r="K385" i="6"/>
  <c r="N391" i="6"/>
  <c r="N389" i="6" s="1"/>
  <c r="K725" i="6"/>
  <c r="N47" i="7"/>
  <c r="O58" i="7"/>
  <c r="M68" i="7"/>
  <c r="P68" i="7" s="1"/>
  <c r="K79" i="7"/>
  <c r="I87" i="7"/>
  <c r="K87" i="7" s="1"/>
  <c r="L90" i="7"/>
  <c r="N94" i="7"/>
  <c r="K116" i="7"/>
  <c r="L121" i="7"/>
  <c r="N125" i="7"/>
  <c r="J143" i="7"/>
  <c r="J131" i="7" s="1"/>
  <c r="O170" i="7"/>
  <c r="I216" i="7"/>
  <c r="K216" i="7" s="1"/>
  <c r="K244" i="7"/>
  <c r="L228" i="7"/>
  <c r="L267" i="7"/>
  <c r="O267" i="7" s="1"/>
  <c r="J288" i="7"/>
  <c r="J275" i="7" s="1"/>
  <c r="L304" i="7"/>
  <c r="O304" i="7" s="1"/>
  <c r="I314" i="7"/>
  <c r="K314" i="7" s="1"/>
  <c r="L318" i="7"/>
  <c r="O318" i="7" s="1"/>
  <c r="L351" i="7"/>
  <c r="O351" i="7" s="1"/>
  <c r="K365" i="7"/>
  <c r="N405" i="7"/>
  <c r="P407" i="7"/>
  <c r="L546" i="7"/>
  <c r="L544" i="7" s="1"/>
  <c r="O549" i="7"/>
  <c r="J721" i="7"/>
  <c r="K821" i="7"/>
  <c r="K824" i="7"/>
  <c r="K827" i="7"/>
  <c r="L33" i="7"/>
  <c r="L31" i="7" s="1"/>
  <c r="P58" i="7"/>
  <c r="L152" i="7"/>
  <c r="O152" i="7" s="1"/>
  <c r="N151" i="7"/>
  <c r="N149" i="7" s="1"/>
  <c r="L184" i="7"/>
  <c r="O184" i="7" s="1"/>
  <c r="M263" i="7"/>
  <c r="M280" i="7"/>
  <c r="P280" i="7" s="1"/>
  <c r="K288" i="7"/>
  <c r="M300" i="7"/>
  <c r="O320" i="7"/>
  <c r="M634" i="7"/>
  <c r="P634" i="7" s="1"/>
  <c r="L631" i="7"/>
  <c r="L629" i="7" s="1"/>
  <c r="L43" i="6"/>
  <c r="L41" i="6" s="1"/>
  <c r="P93" i="6"/>
  <c r="J288" i="6"/>
  <c r="J275" i="6" s="1"/>
  <c r="M348" i="6"/>
  <c r="P348" i="6" s="1"/>
  <c r="N347" i="6"/>
  <c r="N345" i="6" s="1"/>
  <c r="L43" i="7"/>
  <c r="L41" i="7" s="1"/>
  <c r="P46" i="7"/>
  <c r="L91" i="7"/>
  <c r="O91" i="7" s="1"/>
  <c r="P93" i="7"/>
  <c r="M121" i="7"/>
  <c r="P121" i="7" s="1"/>
  <c r="N152" i="7"/>
  <c r="M168" i="7"/>
  <c r="L26" i="7"/>
  <c r="L24" i="7" s="1"/>
  <c r="O186" i="7"/>
  <c r="L238" i="7"/>
  <c r="O238" i="7" s="1"/>
  <c r="L249" i="7"/>
  <c r="O249" i="7" s="1"/>
  <c r="K355" i="7"/>
  <c r="M122" i="6"/>
  <c r="P122" i="6" s="1"/>
  <c r="P186" i="6"/>
  <c r="I364" i="6"/>
  <c r="L422" i="6"/>
  <c r="O422" i="6" s="1"/>
  <c r="N23" i="7"/>
  <c r="M69" i="7"/>
  <c r="P69" i="7" s="1"/>
  <c r="P91" i="7"/>
  <c r="L198" i="7"/>
  <c r="O198" i="7" s="1"/>
  <c r="P266" i="7"/>
  <c r="M317" i="7"/>
  <c r="O350" i="7"/>
  <c r="N391" i="7"/>
  <c r="N389" i="7" s="1"/>
  <c r="L404" i="7"/>
  <c r="O404" i="7" s="1"/>
  <c r="O449" i="7"/>
  <c r="K673" i="7"/>
  <c r="K675" i="7"/>
  <c r="K594" i="7"/>
  <c r="K822" i="7"/>
  <c r="K828" i="7"/>
  <c r="M334" i="7"/>
  <c r="P334" i="7" s="1"/>
  <c r="P336" i="7"/>
  <c r="N469" i="7"/>
  <c r="O472" i="7"/>
  <c r="N470" i="7"/>
  <c r="O470" i="7" s="1"/>
  <c r="N33" i="7"/>
  <c r="O686" i="7"/>
  <c r="P738" i="7"/>
  <c r="M737" i="7"/>
  <c r="P737" i="7" s="1"/>
  <c r="P788" i="7"/>
  <c r="M786" i="7"/>
  <c r="P786" i="7" s="1"/>
  <c r="K379" i="4"/>
  <c r="M134" i="5"/>
  <c r="P134" i="5" s="1"/>
  <c r="K821" i="5"/>
  <c r="K824" i="5"/>
  <c r="K827" i="5"/>
  <c r="N43" i="6"/>
  <c r="N41" i="6" s="1"/>
  <c r="I87" i="6"/>
  <c r="K87" i="6" s="1"/>
  <c r="I275" i="6"/>
  <c r="K275" i="6" s="1"/>
  <c r="L304" i="6"/>
  <c r="O304" i="6" s="1"/>
  <c r="I443" i="6"/>
  <c r="K443" i="6" s="1"/>
  <c r="L546" i="6"/>
  <c r="L544" i="6" s="1"/>
  <c r="M29" i="7"/>
  <c r="M43" i="7"/>
  <c r="M41" i="7" s="1"/>
  <c r="M90" i="7"/>
  <c r="I130" i="7"/>
  <c r="K130" i="7" s="1"/>
  <c r="L135" i="7"/>
  <c r="O135" i="7" s="1"/>
  <c r="I143" i="7"/>
  <c r="I148" i="7"/>
  <c r="K148" i="7" s="1"/>
  <c r="I208" i="7"/>
  <c r="K208" i="7" s="1"/>
  <c r="I260" i="7"/>
  <c r="K260" i="7" s="1"/>
  <c r="O56" i="6"/>
  <c r="P59" i="6"/>
  <c r="M134" i="6"/>
  <c r="P134" i="6" s="1"/>
  <c r="L228" i="6"/>
  <c r="L317" i="6"/>
  <c r="O317" i="6" s="1"/>
  <c r="K338" i="6"/>
  <c r="K821" i="6"/>
  <c r="L23" i="7"/>
  <c r="N43" i="7"/>
  <c r="N41" i="7" s="1"/>
  <c r="O89" i="7"/>
  <c r="K98" i="7"/>
  <c r="P157" i="7"/>
  <c r="M155" i="7"/>
  <c r="P155" i="7" s="1"/>
  <c r="M187" i="7"/>
  <c r="P187" i="7" s="1"/>
  <c r="P189" i="7"/>
  <c r="L280" i="7"/>
  <c r="O280" i="7" s="1"/>
  <c r="O282" i="7"/>
  <c r="M330" i="7"/>
  <c r="P397" i="7"/>
  <c r="M395" i="7"/>
  <c r="P395" i="7" s="1"/>
  <c r="M391" i="7"/>
  <c r="M444" i="7"/>
  <c r="P444" i="7" s="1"/>
  <c r="P445" i="7"/>
  <c r="N395" i="6"/>
  <c r="N44" i="7"/>
  <c r="O44" i="7" s="1"/>
  <c r="P124" i="7"/>
  <c r="M122" i="7"/>
  <c r="P122" i="7" s="1"/>
  <c r="O166" i="7"/>
  <c r="L171" i="7"/>
  <c r="O171" i="7" s="1"/>
  <c r="L392" i="7"/>
  <c r="O392" i="7" s="1"/>
  <c r="O394" i="7"/>
  <c r="L391" i="7"/>
  <c r="O391" i="7" s="1"/>
  <c r="L155" i="6"/>
  <c r="O155" i="6" s="1"/>
  <c r="L280" i="6"/>
  <c r="O280" i="6" s="1"/>
  <c r="M23" i="7"/>
  <c r="M21" i="7" s="1"/>
  <c r="L72" i="7"/>
  <c r="O72" i="7" s="1"/>
  <c r="L134" i="7"/>
  <c r="O173" i="7"/>
  <c r="O182" i="7"/>
  <c r="L217" i="7"/>
  <c r="O217" i="7" s="1"/>
  <c r="L283" i="7"/>
  <c r="O283" i="7" s="1"/>
  <c r="O285" i="7"/>
  <c r="O329" i="7"/>
  <c r="O403" i="7"/>
  <c r="I443" i="7"/>
  <c r="K443" i="7" s="1"/>
  <c r="K462" i="7"/>
  <c r="N467" i="7"/>
  <c r="P346" i="7"/>
  <c r="P771" i="7"/>
  <c r="M770" i="7"/>
  <c r="P770" i="7" s="1"/>
  <c r="K338" i="4"/>
  <c r="I77" i="6"/>
  <c r="I65" i="6" s="1"/>
  <c r="K65" i="6" s="1"/>
  <c r="K720" i="6"/>
  <c r="N12" i="7"/>
  <c r="O46" i="7"/>
  <c r="M55" i="7"/>
  <c r="M53" i="7" s="1"/>
  <c r="P127" i="7"/>
  <c r="M125" i="7"/>
  <c r="P125" i="7" s="1"/>
  <c r="L138" i="7"/>
  <c r="O138" i="7" s="1"/>
  <c r="P150" i="7"/>
  <c r="P154" i="7"/>
  <c r="M152" i="7"/>
  <c r="P152" i="7" s="1"/>
  <c r="L167" i="7"/>
  <c r="I297" i="7"/>
  <c r="K297" i="7" s="1"/>
  <c r="M331" i="7"/>
  <c r="P331" i="7" s="1"/>
  <c r="P333" i="7"/>
  <c r="I434" i="7"/>
  <c r="L446" i="7"/>
  <c r="O446" i="7" s="1"/>
  <c r="O456" i="7"/>
  <c r="M502" i="7"/>
  <c r="P502" i="7" s="1"/>
  <c r="P503" i="7"/>
  <c r="P807" i="7"/>
  <c r="M805" i="7"/>
  <c r="P805" i="7" s="1"/>
  <c r="N183" i="5"/>
  <c r="N181" i="5" s="1"/>
  <c r="I86" i="6"/>
  <c r="K86" i="6" s="1"/>
  <c r="L121" i="6"/>
  <c r="O121" i="6" s="1"/>
  <c r="M183" i="6"/>
  <c r="M181" i="6" s="1"/>
  <c r="I190" i="6"/>
  <c r="K190" i="6" s="1"/>
  <c r="I216" i="6"/>
  <c r="K216" i="6" s="1"/>
  <c r="I233" i="6"/>
  <c r="K233" i="6" s="1"/>
  <c r="L321" i="6"/>
  <c r="O321" i="6" s="1"/>
  <c r="K708" i="6"/>
  <c r="O12" i="7"/>
  <c r="P22" i="7"/>
  <c r="M19" i="7"/>
  <c r="M12" i="7"/>
  <c r="M26" i="7"/>
  <c r="M34" i="7"/>
  <c r="P34" i="7" s="1"/>
  <c r="P42" i="7"/>
  <c r="N55" i="7"/>
  <c r="P61" i="7"/>
  <c r="N134" i="7"/>
  <c r="N132" i="7" s="1"/>
  <c r="M167" i="7"/>
  <c r="M184" i="7"/>
  <c r="P184" i="7" s="1"/>
  <c r="P186" i="7"/>
  <c r="K378" i="7"/>
  <c r="P420" i="7"/>
  <c r="M264" i="7"/>
  <c r="M267" i="7"/>
  <c r="P267" i="7" s="1"/>
  <c r="M301" i="7"/>
  <c r="P301" i="7" s="1"/>
  <c r="M304" i="7"/>
  <c r="P304" i="7" s="1"/>
  <c r="O316" i="7"/>
  <c r="P320" i="7"/>
  <c r="P323" i="7"/>
  <c r="L348" i="7"/>
  <c r="M351" i="7"/>
  <c r="P351" i="7" s="1"/>
  <c r="K374" i="7"/>
  <c r="N392" i="7"/>
  <c r="O407" i="7"/>
  <c r="N419" i="7"/>
  <c r="L422" i="7"/>
  <c r="L477" i="7"/>
  <c r="O477" i="7" s="1"/>
  <c r="L469" i="7"/>
  <c r="O469" i="7" s="1"/>
  <c r="O479" i="7"/>
  <c r="N502" i="7"/>
  <c r="O524" i="7"/>
  <c r="J593" i="7"/>
  <c r="O787" i="7"/>
  <c r="I785" i="7"/>
  <c r="K785" i="7" s="1"/>
  <c r="K800" i="7"/>
  <c r="O806" i="7"/>
  <c r="L805" i="7"/>
  <c r="O805" i="7" s="1"/>
  <c r="L229" i="7"/>
  <c r="I233" i="7"/>
  <c r="K233" i="7" s="1"/>
  <c r="I248" i="7"/>
  <c r="K248" i="7" s="1"/>
  <c r="L347" i="7"/>
  <c r="N348" i="7"/>
  <c r="P348" i="7" s="1"/>
  <c r="P350" i="7"/>
  <c r="L421" i="7"/>
  <c r="O421" i="7" s="1"/>
  <c r="N422" i="7"/>
  <c r="M424" i="7"/>
  <c r="K435" i="7"/>
  <c r="J433" i="7"/>
  <c r="J417" i="7" s="1"/>
  <c r="K417" i="7" s="1"/>
  <c r="O632" i="7"/>
  <c r="P755" i="7"/>
  <c r="M754" i="7"/>
  <c r="P754" i="7" s="1"/>
  <c r="N805" i="7"/>
  <c r="N546" i="7"/>
  <c r="N547" i="7"/>
  <c r="N631" i="7"/>
  <c r="N632" i="7"/>
  <c r="P687" i="7"/>
  <c r="M685" i="7"/>
  <c r="P685" i="7" s="1"/>
  <c r="I197" i="7"/>
  <c r="K197" i="7" s="1"/>
  <c r="I364" i="7"/>
  <c r="P525" i="7"/>
  <c r="M523" i="7"/>
  <c r="P523" i="7" s="1"/>
  <c r="O545" i="7"/>
  <c r="O630" i="7"/>
  <c r="I654" i="7"/>
  <c r="K654" i="7" s="1"/>
  <c r="P656" i="7"/>
  <c r="J537" i="7"/>
  <c r="J522" i="7" s="1"/>
  <c r="L533" i="7"/>
  <c r="O533" i="7" s="1"/>
  <c r="L525" i="7"/>
  <c r="O525" i="7" s="1"/>
  <c r="K669" i="7"/>
  <c r="L687" i="7"/>
  <c r="O687" i="7" s="1"/>
  <c r="L446" i="6"/>
  <c r="L444" i="6" s="1"/>
  <c r="O444" i="6" s="1"/>
  <c r="L183" i="5"/>
  <c r="L181" i="5" s="1"/>
  <c r="N44" i="6"/>
  <c r="O44" i="6" s="1"/>
  <c r="O46" i="6"/>
  <c r="K79" i="6"/>
  <c r="L122" i="6"/>
  <c r="O122" i="6" s="1"/>
  <c r="P152" i="6"/>
  <c r="O154" i="6"/>
  <c r="K176" i="6"/>
  <c r="L217" i="6"/>
  <c r="O217" i="6" s="1"/>
  <c r="L229" i="6"/>
  <c r="K287" i="6"/>
  <c r="L408" i="6"/>
  <c r="O408" i="6" s="1"/>
  <c r="M404" i="6"/>
  <c r="P404" i="6" s="1"/>
  <c r="K537" i="6"/>
  <c r="L33" i="6"/>
  <c r="L31" i="6" s="1"/>
  <c r="O31" i="6" s="1"/>
  <c r="K699" i="6"/>
  <c r="M138" i="5"/>
  <c r="P138" i="5" s="1"/>
  <c r="M171" i="5"/>
  <c r="P171" i="5" s="1"/>
  <c r="I276" i="5"/>
  <c r="K276" i="5" s="1"/>
  <c r="L47" i="6"/>
  <c r="O47" i="6" s="1"/>
  <c r="N90" i="6"/>
  <c r="N88" i="6" s="1"/>
  <c r="O170" i="6"/>
  <c r="M184" i="6"/>
  <c r="P184" i="6" s="1"/>
  <c r="I237" i="6"/>
  <c r="K237" i="6" s="1"/>
  <c r="I248" i="6"/>
  <c r="K248" i="6" s="1"/>
  <c r="L26" i="6"/>
  <c r="L24" i="6" s="1"/>
  <c r="O49" i="6"/>
  <c r="L125" i="6"/>
  <c r="O125" i="6" s="1"/>
  <c r="O186" i="6"/>
  <c r="N317" i="6"/>
  <c r="N315" i="6" s="1"/>
  <c r="O394" i="6"/>
  <c r="K649" i="6"/>
  <c r="I86" i="5"/>
  <c r="K86" i="5" s="1"/>
  <c r="M122" i="5"/>
  <c r="P122" i="5" s="1"/>
  <c r="K176" i="5"/>
  <c r="I208" i="6"/>
  <c r="K208" i="6" s="1"/>
  <c r="M424" i="6"/>
  <c r="P424" i="6" s="1"/>
  <c r="K647" i="6"/>
  <c r="K673" i="6"/>
  <c r="J721" i="5"/>
  <c r="M280" i="6"/>
  <c r="P280" i="6" s="1"/>
  <c r="M300" i="6"/>
  <c r="M298" i="6" s="1"/>
  <c r="O333" i="6"/>
  <c r="K359" i="6"/>
  <c r="K362" i="6"/>
  <c r="K723" i="6"/>
  <c r="K143" i="6"/>
  <c r="I131" i="6"/>
  <c r="K131" i="6" s="1"/>
  <c r="N280" i="6"/>
  <c r="N279" i="6"/>
  <c r="N277" i="6" s="1"/>
  <c r="O407" i="6"/>
  <c r="L405" i="6"/>
  <c r="O405" i="6" s="1"/>
  <c r="I443" i="2"/>
  <c r="K443" i="2" s="1"/>
  <c r="N184" i="5"/>
  <c r="P184" i="5" s="1"/>
  <c r="P186" i="5"/>
  <c r="N404" i="5"/>
  <c r="N402" i="5" s="1"/>
  <c r="M549" i="5"/>
  <c r="M546" i="5" s="1"/>
  <c r="P546" i="5" s="1"/>
  <c r="L23" i="6"/>
  <c r="L21" i="6" s="1"/>
  <c r="N26" i="6"/>
  <c r="N16" i="6" s="1"/>
  <c r="O61" i="6"/>
  <c r="M94" i="6"/>
  <c r="P94" i="6" s="1"/>
  <c r="M138" i="6"/>
  <c r="P138" i="6" s="1"/>
  <c r="K145" i="6"/>
  <c r="M267" i="6"/>
  <c r="P267" i="6" s="1"/>
  <c r="O303" i="6"/>
  <c r="L301" i="6"/>
  <c r="O301" i="6" s="1"/>
  <c r="K379" i="3"/>
  <c r="I364" i="5"/>
  <c r="M405" i="5"/>
  <c r="P405" i="5" s="1"/>
  <c r="M447" i="5"/>
  <c r="P447" i="5" s="1"/>
  <c r="L55" i="6"/>
  <c r="L53" i="6" s="1"/>
  <c r="O58" i="6"/>
  <c r="M72" i="6"/>
  <c r="P72" i="6" s="1"/>
  <c r="N94" i="6"/>
  <c r="P127" i="6"/>
  <c r="M155" i="6"/>
  <c r="P155" i="6" s="1"/>
  <c r="O173" i="6"/>
  <c r="N183" i="6"/>
  <c r="N181" i="6" s="1"/>
  <c r="L187" i="6"/>
  <c r="O187" i="6" s="1"/>
  <c r="O189" i="6"/>
  <c r="L300" i="6"/>
  <c r="L298" i="6" s="1"/>
  <c r="P351" i="6"/>
  <c r="K378" i="6"/>
  <c r="K381" i="6"/>
  <c r="J537" i="6"/>
  <c r="J522" i="6" s="1"/>
  <c r="K539" i="6"/>
  <c r="I559" i="6"/>
  <c r="K559" i="6" s="1"/>
  <c r="K576" i="6"/>
  <c r="K700" i="6"/>
  <c r="K822" i="6"/>
  <c r="K825" i="6"/>
  <c r="K828" i="6"/>
  <c r="P58" i="6"/>
  <c r="M56" i="6"/>
  <c r="P56" i="6" s="1"/>
  <c r="L134" i="6"/>
  <c r="L132" i="6" s="1"/>
  <c r="O132" i="6" s="1"/>
  <c r="O137" i="6"/>
  <c r="P140" i="6"/>
  <c r="L263" i="6"/>
  <c r="L261" i="6" s="1"/>
  <c r="O266" i="6"/>
  <c r="L264" i="6"/>
  <c r="O264" i="6" s="1"/>
  <c r="I314" i="6"/>
  <c r="K314" i="6" s="1"/>
  <c r="K325" i="6"/>
  <c r="K355" i="6"/>
  <c r="L404" i="6"/>
  <c r="O404" i="6" s="1"/>
  <c r="J721" i="3"/>
  <c r="K721" i="3" s="1"/>
  <c r="N121" i="4"/>
  <c r="N119" i="4" s="1"/>
  <c r="P264" i="4"/>
  <c r="P333" i="4"/>
  <c r="M55" i="5"/>
  <c r="L94" i="5"/>
  <c r="O94" i="5" s="1"/>
  <c r="L321" i="5"/>
  <c r="O321" i="5" s="1"/>
  <c r="I434" i="5"/>
  <c r="K434" i="5" s="1"/>
  <c r="N55" i="6"/>
  <c r="N53" i="6" s="1"/>
  <c r="N68" i="6"/>
  <c r="N66" i="6" s="1"/>
  <c r="P71" i="6"/>
  <c r="M68" i="6"/>
  <c r="M66" i="6" s="1"/>
  <c r="L90" i="6"/>
  <c r="L88" i="6" s="1"/>
  <c r="M90" i="6"/>
  <c r="M88" i="6" s="1"/>
  <c r="M91" i="6"/>
  <c r="P91" i="6" s="1"/>
  <c r="M121" i="6"/>
  <c r="P121" i="6" s="1"/>
  <c r="P137" i="6"/>
  <c r="M135" i="6"/>
  <c r="P135" i="6" s="1"/>
  <c r="N151" i="6"/>
  <c r="P154" i="6"/>
  <c r="M151" i="6"/>
  <c r="M149" i="6" s="1"/>
  <c r="K174" i="6"/>
  <c r="M187" i="6"/>
  <c r="P187" i="6" s="1"/>
  <c r="O397" i="6"/>
  <c r="L395" i="6"/>
  <c r="O395" i="6" s="1"/>
  <c r="L36" i="6"/>
  <c r="O36" i="6" s="1"/>
  <c r="L469" i="6"/>
  <c r="L467" i="6" s="1"/>
  <c r="O467" i="6" s="1"/>
  <c r="M472" i="6"/>
  <c r="I112" i="5"/>
  <c r="K112" i="5" s="1"/>
  <c r="I237" i="5"/>
  <c r="K237" i="5" s="1"/>
  <c r="K340" i="5"/>
  <c r="J364" i="5"/>
  <c r="K381" i="5"/>
  <c r="N391" i="5"/>
  <c r="N389" i="5" s="1"/>
  <c r="M43" i="6"/>
  <c r="M41" i="6" s="1"/>
  <c r="O59" i="6"/>
  <c r="P61" i="6"/>
  <c r="I76" i="6"/>
  <c r="I64" i="6" s="1"/>
  <c r="K64" i="6" s="1"/>
  <c r="N134" i="6"/>
  <c r="N132" i="6" s="1"/>
  <c r="K144" i="6"/>
  <c r="J143" i="6"/>
  <c r="J131" i="6" s="1"/>
  <c r="K164" i="6"/>
  <c r="N168" i="6"/>
  <c r="O168" i="6" s="1"/>
  <c r="L249" i="6"/>
  <c r="O249" i="6" s="1"/>
  <c r="M263" i="6"/>
  <c r="M261" i="6" s="1"/>
  <c r="L334" i="6"/>
  <c r="O334" i="6" s="1"/>
  <c r="K374" i="6"/>
  <c r="J433" i="6"/>
  <c r="J417" i="6" s="1"/>
  <c r="O456" i="6"/>
  <c r="L68" i="6"/>
  <c r="L66" i="6" s="1"/>
  <c r="L151" i="6"/>
  <c r="L149" i="6" s="1"/>
  <c r="O184" i="6"/>
  <c r="P266" i="6"/>
  <c r="M279" i="6"/>
  <c r="P279" i="6" s="1"/>
  <c r="N300" i="6"/>
  <c r="P306" i="6"/>
  <c r="K340" i="6"/>
  <c r="O348" i="6"/>
  <c r="O350" i="6"/>
  <c r="K360" i="6"/>
  <c r="K369" i="6"/>
  <c r="L391" i="6"/>
  <c r="O391" i="6" s="1"/>
  <c r="L421" i="6"/>
  <c r="O421" i="6" s="1"/>
  <c r="O472" i="6"/>
  <c r="I592" i="6"/>
  <c r="K592" i="6" s="1"/>
  <c r="J722" i="6"/>
  <c r="K722" i="6" s="1"/>
  <c r="L788" i="6"/>
  <c r="O788" i="6" s="1"/>
  <c r="K823" i="6"/>
  <c r="K826" i="6"/>
  <c r="L330" i="6"/>
  <c r="L328" i="6" s="1"/>
  <c r="L687" i="6"/>
  <c r="L238" i="6"/>
  <c r="O238" i="6" s="1"/>
  <c r="K271" i="6"/>
  <c r="M283" i="6"/>
  <c r="P283" i="6" s="1"/>
  <c r="L331" i="6"/>
  <c r="P333" i="6"/>
  <c r="O353" i="6"/>
  <c r="K372" i="6"/>
  <c r="K824" i="6"/>
  <c r="K827" i="6"/>
  <c r="J327" i="6"/>
  <c r="K327" i="6" s="1"/>
  <c r="M347" i="6"/>
  <c r="L631" i="6"/>
  <c r="K669" i="6"/>
  <c r="L789" i="6"/>
  <c r="O789" i="6" s="1"/>
  <c r="K708" i="4"/>
  <c r="K729" i="4"/>
  <c r="K826" i="4"/>
  <c r="K115" i="5"/>
  <c r="M152" i="5"/>
  <c r="P152" i="5" s="1"/>
  <c r="L231" i="5"/>
  <c r="K379" i="5"/>
  <c r="K672" i="5"/>
  <c r="K675" i="5"/>
  <c r="K435" i="5"/>
  <c r="I433" i="5"/>
  <c r="I417" i="5" s="1"/>
  <c r="M283" i="4"/>
  <c r="P283" i="4" s="1"/>
  <c r="M56" i="5"/>
  <c r="L122" i="5"/>
  <c r="O122" i="5" s="1"/>
  <c r="M155" i="5"/>
  <c r="P155" i="5" s="1"/>
  <c r="P157" i="5"/>
  <c r="O42" i="6"/>
  <c r="K204" i="6"/>
  <c r="I197" i="6"/>
  <c r="K197" i="6" s="1"/>
  <c r="O420" i="6"/>
  <c r="K460" i="6"/>
  <c r="I442" i="6"/>
  <c r="K442" i="6" s="1"/>
  <c r="N29" i="6"/>
  <c r="N28" i="6" s="1"/>
  <c r="P807" i="6"/>
  <c r="M805" i="6"/>
  <c r="P805" i="6" s="1"/>
  <c r="P93" i="5"/>
  <c r="L167" i="5"/>
  <c r="O167" i="5" s="1"/>
  <c r="M263" i="5"/>
  <c r="M261" i="5" s="1"/>
  <c r="O306" i="5"/>
  <c r="L304" i="5"/>
  <c r="O304" i="5" s="1"/>
  <c r="L429" i="5"/>
  <c r="O429" i="5" s="1"/>
  <c r="N15" i="6"/>
  <c r="M44" i="6"/>
  <c r="M23" i="6"/>
  <c r="P46" i="6"/>
  <c r="N122" i="6"/>
  <c r="N23" i="6"/>
  <c r="N21" i="6" s="1"/>
  <c r="N121" i="6"/>
  <c r="N119" i="6" s="1"/>
  <c r="P170" i="6"/>
  <c r="M167" i="6"/>
  <c r="L632" i="4"/>
  <c r="O632" i="4" s="1"/>
  <c r="O353" i="4"/>
  <c r="K701" i="4"/>
  <c r="P49" i="5"/>
  <c r="L68" i="5"/>
  <c r="O68" i="5" s="1"/>
  <c r="M125" i="5"/>
  <c r="P125" i="5" s="1"/>
  <c r="L301" i="5"/>
  <c r="O301" i="5" s="1"/>
  <c r="L300" i="5"/>
  <c r="L298" i="5" s="1"/>
  <c r="K338" i="5"/>
  <c r="K359" i="5"/>
  <c r="K822" i="5"/>
  <c r="K828" i="5"/>
  <c r="M168" i="6"/>
  <c r="K729" i="3"/>
  <c r="L217" i="5"/>
  <c r="O217" i="5" s="1"/>
  <c r="M395" i="5"/>
  <c r="P395" i="5" s="1"/>
  <c r="K649" i="5"/>
  <c r="N19" i="6"/>
  <c r="N12" i="6"/>
  <c r="M47" i="6"/>
  <c r="P47" i="6" s="1"/>
  <c r="P49" i="6"/>
  <c r="M26" i="6"/>
  <c r="M330" i="6"/>
  <c r="P336" i="6"/>
  <c r="L228" i="5"/>
  <c r="L249" i="5"/>
  <c r="O249" i="5" s="1"/>
  <c r="L330" i="5"/>
  <c r="L328" i="5" s="1"/>
  <c r="K370" i="5"/>
  <c r="K647" i="5"/>
  <c r="L12" i="6"/>
  <c r="O15" i="6"/>
  <c r="L19" i="6"/>
  <c r="O22" i="6"/>
  <c r="O29" i="6"/>
  <c r="O35" i="6"/>
  <c r="O93" i="6"/>
  <c r="I112" i="6"/>
  <c r="K112" i="6" s="1"/>
  <c r="I130" i="6"/>
  <c r="K130" i="6" s="1"/>
  <c r="L167" i="6"/>
  <c r="N263" i="6"/>
  <c r="P278" i="6"/>
  <c r="O320" i="6"/>
  <c r="L318" i="6"/>
  <c r="O318" i="6" s="1"/>
  <c r="O329" i="6"/>
  <c r="M392" i="6"/>
  <c r="P392" i="6" s="1"/>
  <c r="M391" i="6"/>
  <c r="I434" i="6"/>
  <c r="K438" i="6"/>
  <c r="P738" i="6"/>
  <c r="M737" i="6"/>
  <c r="P737" i="6" s="1"/>
  <c r="P771" i="6"/>
  <c r="M770" i="6"/>
  <c r="P770" i="6" s="1"/>
  <c r="P788" i="6"/>
  <c r="M786" i="6"/>
  <c r="P786" i="6" s="1"/>
  <c r="L198" i="6"/>
  <c r="O198" i="6" s="1"/>
  <c r="P320" i="6"/>
  <c r="M317" i="6"/>
  <c r="P317" i="6" s="1"/>
  <c r="L209" i="6"/>
  <c r="O209" i="6" s="1"/>
  <c r="O299" i="6"/>
  <c r="M318" i="6"/>
  <c r="P318" i="6" s="1"/>
  <c r="L351" i="6"/>
  <c r="O351" i="6" s="1"/>
  <c r="P403" i="6"/>
  <c r="O91" i="6"/>
  <c r="P323" i="6"/>
  <c r="M321" i="6"/>
  <c r="P321" i="6" s="1"/>
  <c r="L347" i="6"/>
  <c r="K365" i="6"/>
  <c r="J364" i="6"/>
  <c r="P410" i="6"/>
  <c r="M408" i="6"/>
  <c r="P408" i="6" s="1"/>
  <c r="L526" i="6"/>
  <c r="O526" i="6" s="1"/>
  <c r="O528" i="6"/>
  <c r="L525" i="6"/>
  <c r="L658" i="6"/>
  <c r="O658" i="6" s="1"/>
  <c r="O660" i="6"/>
  <c r="M660" i="6"/>
  <c r="L657" i="6"/>
  <c r="M15" i="6"/>
  <c r="M29" i="6"/>
  <c r="O89" i="6"/>
  <c r="O96" i="6"/>
  <c r="L183" i="6"/>
  <c r="L279" i="6"/>
  <c r="P353" i="6"/>
  <c r="K370" i="6"/>
  <c r="I417" i="6"/>
  <c r="O470" i="6"/>
  <c r="N404" i="6"/>
  <c r="N402" i="6" s="1"/>
  <c r="N544" i="6"/>
  <c r="N414" i="6" s="1"/>
  <c r="J594" i="6"/>
  <c r="O787" i="6"/>
  <c r="I785" i="6"/>
  <c r="K785" i="6" s="1"/>
  <c r="K800" i="6"/>
  <c r="O806" i="6"/>
  <c r="L805" i="6"/>
  <c r="O805" i="6" s="1"/>
  <c r="K651" i="6"/>
  <c r="I628" i="6"/>
  <c r="K628" i="6" s="1"/>
  <c r="P545" i="6"/>
  <c r="P755" i="6"/>
  <c r="M754" i="6"/>
  <c r="P754" i="6" s="1"/>
  <c r="P303" i="6"/>
  <c r="P397" i="6"/>
  <c r="P407" i="6"/>
  <c r="M405" i="6"/>
  <c r="P405" i="6" s="1"/>
  <c r="K435" i="6"/>
  <c r="M546" i="6"/>
  <c r="P546" i="6" s="1"/>
  <c r="M547" i="6"/>
  <c r="P547" i="6" s="1"/>
  <c r="P549" i="6"/>
  <c r="N789" i="6"/>
  <c r="K379" i="6"/>
  <c r="M444" i="6"/>
  <c r="P444" i="6" s="1"/>
  <c r="L447" i="6"/>
  <c r="O447" i="6" s="1"/>
  <c r="O449" i="6"/>
  <c r="K594" i="6"/>
  <c r="P686" i="6"/>
  <c r="P503" i="6"/>
  <c r="O549" i="6"/>
  <c r="P630" i="6"/>
  <c r="L632" i="6"/>
  <c r="O632" i="6" s="1"/>
  <c r="K675" i="6"/>
  <c r="N470" i="6"/>
  <c r="L547" i="6"/>
  <c r="O547" i="6" s="1"/>
  <c r="L555" i="6"/>
  <c r="O555" i="6" s="1"/>
  <c r="M634" i="6"/>
  <c r="K672" i="6"/>
  <c r="L688" i="6"/>
  <c r="O688" i="6" s="1"/>
  <c r="M690" i="6"/>
  <c r="I654" i="6"/>
  <c r="K654" i="6" s="1"/>
  <c r="I143" i="5"/>
  <c r="K145" i="5"/>
  <c r="N151" i="4"/>
  <c r="N149" i="4" s="1"/>
  <c r="N56" i="5"/>
  <c r="O56" i="5" s="1"/>
  <c r="O140" i="5"/>
  <c r="L138" i="5"/>
  <c r="O138" i="5" s="1"/>
  <c r="L198" i="5"/>
  <c r="O198" i="5" s="1"/>
  <c r="N300" i="5"/>
  <c r="P137" i="5"/>
  <c r="M135" i="5"/>
  <c r="P135" i="5" s="1"/>
  <c r="O479" i="5"/>
  <c r="L36" i="5"/>
  <c r="O36" i="5" s="1"/>
  <c r="L134" i="5"/>
  <c r="O134" i="5" s="1"/>
  <c r="P285" i="5"/>
  <c r="M283" i="5"/>
  <c r="P283" i="5" s="1"/>
  <c r="P323" i="5"/>
  <c r="M321" i="5"/>
  <c r="P321" i="5" s="1"/>
  <c r="M280" i="5"/>
  <c r="M279" i="5"/>
  <c r="M277" i="5" s="1"/>
  <c r="I442" i="5"/>
  <c r="K442" i="5" s="1"/>
  <c r="K460" i="5"/>
  <c r="L470" i="4"/>
  <c r="M472" i="4"/>
  <c r="M470" i="4" s="1"/>
  <c r="O93" i="5"/>
  <c r="L90" i="5"/>
  <c r="L88" i="5" s="1"/>
  <c r="M304" i="5"/>
  <c r="P304" i="5" s="1"/>
  <c r="P306" i="5"/>
  <c r="L688" i="5"/>
  <c r="O688" i="5" s="1"/>
  <c r="O690" i="5"/>
  <c r="L687" i="5"/>
  <c r="O687" i="5" s="1"/>
  <c r="P91" i="5"/>
  <c r="O137" i="5"/>
  <c r="O173" i="5"/>
  <c r="O191" i="5"/>
  <c r="P348" i="5"/>
  <c r="K628" i="5"/>
  <c r="L231" i="4"/>
  <c r="K823" i="4"/>
  <c r="L230" i="5"/>
  <c r="L26" i="5"/>
  <c r="L24" i="5" s="1"/>
  <c r="O59" i="5"/>
  <c r="L209" i="5"/>
  <c r="O209" i="5" s="1"/>
  <c r="L263" i="5"/>
  <c r="L261" i="5" s="1"/>
  <c r="L23" i="5"/>
  <c r="L21" i="5" s="1"/>
  <c r="J143" i="5"/>
  <c r="J131" i="5" s="1"/>
  <c r="K193" i="5"/>
  <c r="P320" i="5"/>
  <c r="K362" i="5"/>
  <c r="L317" i="5"/>
  <c r="L315" i="5" s="1"/>
  <c r="O320" i="5"/>
  <c r="O397" i="5"/>
  <c r="L395" i="5"/>
  <c r="O395" i="5" s="1"/>
  <c r="I148" i="4"/>
  <c r="K148" i="4" s="1"/>
  <c r="L43" i="5"/>
  <c r="L41" i="5" s="1"/>
  <c r="P58" i="5"/>
  <c r="I87" i="5"/>
  <c r="K87" i="5" s="1"/>
  <c r="M94" i="5"/>
  <c r="P94" i="5" s="1"/>
  <c r="M187" i="5"/>
  <c r="P187" i="5" s="1"/>
  <c r="K224" i="5"/>
  <c r="L267" i="5"/>
  <c r="O267" i="5" s="1"/>
  <c r="I314" i="5"/>
  <c r="K314" i="5" s="1"/>
  <c r="K325" i="5"/>
  <c r="L351" i="5"/>
  <c r="O351" i="5" s="1"/>
  <c r="O353" i="5"/>
  <c r="P394" i="5"/>
  <c r="M392" i="5"/>
  <c r="P392" i="5" s="1"/>
  <c r="K438" i="5"/>
  <c r="J722" i="5"/>
  <c r="N122" i="4"/>
  <c r="L33" i="4"/>
  <c r="L31" i="4" s="1"/>
  <c r="L68" i="4"/>
  <c r="O68" i="4" s="1"/>
  <c r="K224" i="4"/>
  <c r="K359" i="4"/>
  <c r="K385" i="4"/>
  <c r="P397" i="4"/>
  <c r="K821" i="4"/>
  <c r="K824" i="4"/>
  <c r="K827" i="4"/>
  <c r="M43" i="5"/>
  <c r="M41" i="5" s="1"/>
  <c r="N23" i="5"/>
  <c r="N21" i="5" s="1"/>
  <c r="P61" i="5"/>
  <c r="O71" i="5"/>
  <c r="I77" i="5"/>
  <c r="K77" i="5" s="1"/>
  <c r="M90" i="5"/>
  <c r="M88" i="5" s="1"/>
  <c r="L125" i="5"/>
  <c r="O125" i="5" s="1"/>
  <c r="N134" i="5"/>
  <c r="N132" i="5" s="1"/>
  <c r="N151" i="5"/>
  <c r="N149" i="5" s="1"/>
  <c r="L155" i="5"/>
  <c r="O155" i="5" s="1"/>
  <c r="N167" i="5"/>
  <c r="N165" i="5" s="1"/>
  <c r="L318" i="5"/>
  <c r="O318" i="5" s="1"/>
  <c r="N330" i="5"/>
  <c r="N328" i="5" s="1"/>
  <c r="P333" i="5"/>
  <c r="P336" i="5"/>
  <c r="M391" i="5"/>
  <c r="J433" i="5"/>
  <c r="L44" i="4"/>
  <c r="L47" i="4"/>
  <c r="O47" i="4" s="1"/>
  <c r="I260" i="4"/>
  <c r="K260" i="4" s="1"/>
  <c r="L44" i="5"/>
  <c r="L47" i="5"/>
  <c r="O47" i="5" s="1"/>
  <c r="L72" i="5"/>
  <c r="O72" i="5" s="1"/>
  <c r="L91" i="5"/>
  <c r="O91" i="5" s="1"/>
  <c r="L121" i="5"/>
  <c r="L119" i="5" s="1"/>
  <c r="O119" i="5" s="1"/>
  <c r="O269" i="5"/>
  <c r="M318" i="5"/>
  <c r="P318" i="5" s="1"/>
  <c r="P331" i="5"/>
  <c r="O58" i="4"/>
  <c r="J143" i="4"/>
  <c r="J131" i="4" s="1"/>
  <c r="P189" i="4"/>
  <c r="M408" i="4"/>
  <c r="P408" i="4" s="1"/>
  <c r="O49" i="5"/>
  <c r="O58" i="5"/>
  <c r="I76" i="5"/>
  <c r="K76" i="5" s="1"/>
  <c r="M121" i="5"/>
  <c r="L151" i="5"/>
  <c r="O170" i="5"/>
  <c r="M183" i="5"/>
  <c r="M181" i="5" s="1"/>
  <c r="I297" i="5"/>
  <c r="K297" i="5" s="1"/>
  <c r="M334" i="5"/>
  <c r="P334" i="5" s="1"/>
  <c r="N347" i="5"/>
  <c r="N345" i="5" s="1"/>
  <c r="K355" i="5"/>
  <c r="K369" i="5"/>
  <c r="L526" i="5"/>
  <c r="L657" i="5"/>
  <c r="O657" i="5" s="1"/>
  <c r="N134" i="4"/>
  <c r="N132" i="4" s="1"/>
  <c r="L229" i="4"/>
  <c r="N68" i="5"/>
  <c r="N66" i="5" s="1"/>
  <c r="I130" i="5"/>
  <c r="K130" i="5" s="1"/>
  <c r="L238" i="5"/>
  <c r="O634" i="5"/>
  <c r="L632" i="5"/>
  <c r="O632" i="5" s="1"/>
  <c r="O303" i="5"/>
  <c r="K365" i="5"/>
  <c r="K372" i="5"/>
  <c r="K465" i="5"/>
  <c r="O547" i="5"/>
  <c r="K651" i="5"/>
  <c r="K674" i="5"/>
  <c r="L283" i="5"/>
  <c r="O283" i="5" s="1"/>
  <c r="J327" i="5"/>
  <c r="K327" i="5" s="1"/>
  <c r="K378" i="5"/>
  <c r="K466" i="5"/>
  <c r="K823" i="5"/>
  <c r="K271" i="5"/>
  <c r="I260" i="5"/>
  <c r="K260" i="5" s="1"/>
  <c r="P58" i="4"/>
  <c r="N152" i="4"/>
  <c r="P152" i="4" s="1"/>
  <c r="I190" i="4"/>
  <c r="K190" i="4" s="1"/>
  <c r="L228" i="4"/>
  <c r="K244" i="4"/>
  <c r="K255" i="4"/>
  <c r="L12" i="5"/>
  <c r="N43" i="5"/>
  <c r="O46" i="5"/>
  <c r="O61" i="5"/>
  <c r="I148" i="5"/>
  <c r="K148" i="5" s="1"/>
  <c r="I164" i="5"/>
  <c r="K164" i="5" s="1"/>
  <c r="K174" i="5"/>
  <c r="K255" i="5"/>
  <c r="I248" i="5"/>
  <c r="I233" i="5"/>
  <c r="K233" i="5" s="1"/>
  <c r="L348" i="5"/>
  <c r="O348" i="5" s="1"/>
  <c r="L347" i="5"/>
  <c r="O350" i="5"/>
  <c r="L56" i="4"/>
  <c r="O56" i="4" s="1"/>
  <c r="N9" i="5"/>
  <c r="M12" i="5"/>
  <c r="L15" i="5"/>
  <c r="M34" i="5"/>
  <c r="P34" i="5" s="1"/>
  <c r="P46" i="5"/>
  <c r="P59" i="5"/>
  <c r="M68" i="5"/>
  <c r="P68" i="5" s="1"/>
  <c r="N90" i="5"/>
  <c r="K100" i="5"/>
  <c r="O266" i="5"/>
  <c r="N263" i="5"/>
  <c r="L405" i="5"/>
  <c r="O405" i="5" s="1"/>
  <c r="L404" i="5"/>
  <c r="O404" i="5" s="1"/>
  <c r="O407" i="5"/>
  <c r="L788" i="3"/>
  <c r="O788" i="3" s="1"/>
  <c r="M168" i="5"/>
  <c r="P168" i="5" s="1"/>
  <c r="M424" i="5"/>
  <c r="L421" i="5"/>
  <c r="O424" i="5"/>
  <c r="L422" i="5"/>
  <c r="O422" i="5" s="1"/>
  <c r="M167" i="2"/>
  <c r="M165" i="2" s="1"/>
  <c r="L391" i="3"/>
  <c r="O391" i="3" s="1"/>
  <c r="O264" i="4"/>
  <c r="I297" i="4"/>
  <c r="K297" i="4" s="1"/>
  <c r="N317" i="4"/>
  <c r="N315" i="4" s="1"/>
  <c r="L347" i="4"/>
  <c r="L345" i="4" s="1"/>
  <c r="L658" i="4"/>
  <c r="M23" i="5"/>
  <c r="M26" i="5"/>
  <c r="L33" i="5"/>
  <c r="L31" i="5" s="1"/>
  <c r="O31" i="5" s="1"/>
  <c r="O35" i="5"/>
  <c r="P74" i="5"/>
  <c r="P150" i="5"/>
  <c r="M167" i="5"/>
  <c r="N264" i="5"/>
  <c r="P264" i="5" s="1"/>
  <c r="O282" i="5"/>
  <c r="L279" i="5"/>
  <c r="O524" i="5"/>
  <c r="J275" i="5"/>
  <c r="K288" i="5"/>
  <c r="M404" i="3"/>
  <c r="P404" i="3" s="1"/>
  <c r="L69" i="4"/>
  <c r="O69" i="4" s="1"/>
  <c r="M267" i="4"/>
  <c r="P267" i="4" s="1"/>
  <c r="M318" i="4"/>
  <c r="P318" i="4" s="1"/>
  <c r="K360" i="4"/>
  <c r="N391" i="4"/>
  <c r="N389" i="4" s="1"/>
  <c r="K822" i="4"/>
  <c r="K825" i="4"/>
  <c r="K828" i="4"/>
  <c r="N26" i="5"/>
  <c r="N16" i="5" s="1"/>
  <c r="P54" i="5"/>
  <c r="P71" i="5"/>
  <c r="L229" i="5"/>
  <c r="N279" i="5"/>
  <c r="M301" i="5"/>
  <c r="P301" i="5" s="1"/>
  <c r="M300" i="5"/>
  <c r="P303" i="5"/>
  <c r="P32" i="5"/>
  <c r="M29" i="5"/>
  <c r="P299" i="5"/>
  <c r="L36" i="4"/>
  <c r="L34" i="4" s="1"/>
  <c r="O34" i="4" s="1"/>
  <c r="O71" i="4"/>
  <c r="K86" i="4"/>
  <c r="K370" i="4"/>
  <c r="L446" i="4"/>
  <c r="L444" i="4" s="1"/>
  <c r="O444" i="4" s="1"/>
  <c r="P25" i="5"/>
  <c r="M15" i="5"/>
  <c r="L29" i="5"/>
  <c r="N44" i="5"/>
  <c r="L55" i="5"/>
  <c r="N122" i="5"/>
  <c r="N121" i="5"/>
  <c r="N119" i="5" s="1"/>
  <c r="O154" i="5"/>
  <c r="L184" i="5"/>
  <c r="O186" i="5"/>
  <c r="L280" i="5"/>
  <c r="I443" i="5"/>
  <c r="K443" i="5" s="1"/>
  <c r="K462" i="5"/>
  <c r="P266" i="5"/>
  <c r="N317" i="5"/>
  <c r="N315" i="5" s="1"/>
  <c r="M330" i="5"/>
  <c r="O346" i="5"/>
  <c r="P449" i="5"/>
  <c r="O456" i="5"/>
  <c r="L454" i="5"/>
  <c r="O454" i="5" s="1"/>
  <c r="L446" i="5"/>
  <c r="O446" i="5" s="1"/>
  <c r="N280" i="5"/>
  <c r="P282" i="5"/>
  <c r="O333" i="5"/>
  <c r="L331" i="5"/>
  <c r="O331" i="5" s="1"/>
  <c r="P446" i="5"/>
  <c r="M444" i="5"/>
  <c r="N446" i="5"/>
  <c r="N444" i="5" s="1"/>
  <c r="N414" i="5" s="1"/>
  <c r="N447" i="5"/>
  <c r="M469" i="5"/>
  <c r="M470" i="5"/>
  <c r="P470" i="5" s="1"/>
  <c r="P472" i="5"/>
  <c r="O504" i="5"/>
  <c r="L502" i="5"/>
  <c r="O502" i="5" s="1"/>
  <c r="L639" i="5"/>
  <c r="O639" i="5" s="1"/>
  <c r="L631" i="5"/>
  <c r="O631" i="5" s="1"/>
  <c r="O641" i="5"/>
  <c r="O738" i="5"/>
  <c r="L737" i="5"/>
  <c r="O737" i="5" s="1"/>
  <c r="K215" i="5"/>
  <c r="P353" i="5"/>
  <c r="M351" i="5"/>
  <c r="P351" i="5" s="1"/>
  <c r="O394" i="5"/>
  <c r="L391" i="5"/>
  <c r="M404" i="5"/>
  <c r="I543" i="5"/>
  <c r="K543" i="5" s="1"/>
  <c r="K559" i="5"/>
  <c r="I592" i="5"/>
  <c r="K592" i="5" s="1"/>
  <c r="K593" i="5"/>
  <c r="O336" i="5"/>
  <c r="L334" i="5"/>
  <c r="O334" i="5" s="1"/>
  <c r="O445" i="5"/>
  <c r="L533" i="5"/>
  <c r="O533" i="5" s="1"/>
  <c r="L525" i="5"/>
  <c r="O525" i="5" s="1"/>
  <c r="O535" i="5"/>
  <c r="O755" i="5"/>
  <c r="L754" i="5"/>
  <c r="O754" i="5" s="1"/>
  <c r="O182" i="5"/>
  <c r="O189" i="5"/>
  <c r="K225" i="5"/>
  <c r="P269" i="5"/>
  <c r="M347" i="5"/>
  <c r="K360" i="5"/>
  <c r="L392" i="5"/>
  <c r="O392" i="5" s="1"/>
  <c r="M408" i="5"/>
  <c r="P408" i="5" s="1"/>
  <c r="P420" i="5"/>
  <c r="N526" i="5"/>
  <c r="P350" i="5"/>
  <c r="L447" i="5"/>
  <c r="O447" i="5" s="1"/>
  <c r="O449" i="5"/>
  <c r="N469" i="5"/>
  <c r="N467" i="5" s="1"/>
  <c r="N470" i="5"/>
  <c r="L477" i="5"/>
  <c r="O477" i="5" s="1"/>
  <c r="L469" i="5"/>
  <c r="N504" i="5"/>
  <c r="N502" i="5" s="1"/>
  <c r="N505" i="5"/>
  <c r="P524" i="5"/>
  <c r="M523" i="5"/>
  <c r="P523" i="5" s="1"/>
  <c r="O549" i="5"/>
  <c r="K594" i="5"/>
  <c r="O630" i="5"/>
  <c r="N807" i="5"/>
  <c r="N805" i="5" s="1"/>
  <c r="N808" i="5"/>
  <c r="P525" i="5"/>
  <c r="K385" i="5"/>
  <c r="O410" i="5"/>
  <c r="O472" i="5"/>
  <c r="O528" i="5"/>
  <c r="J537" i="5"/>
  <c r="J522" i="5" s="1"/>
  <c r="K522" i="5" s="1"/>
  <c r="M545" i="5"/>
  <c r="O771" i="5"/>
  <c r="L770" i="5"/>
  <c r="O770" i="5" s="1"/>
  <c r="L789" i="5"/>
  <c r="O789" i="5" s="1"/>
  <c r="O791" i="5"/>
  <c r="K374" i="5"/>
  <c r="M526" i="5"/>
  <c r="P526" i="5" s="1"/>
  <c r="P528" i="5"/>
  <c r="L546" i="5"/>
  <c r="O557" i="5"/>
  <c r="M632" i="5"/>
  <c r="P632" i="5" s="1"/>
  <c r="P634" i="5"/>
  <c r="L470" i="5"/>
  <c r="O470" i="5" s="1"/>
  <c r="M629" i="5"/>
  <c r="P629" i="5" s="1"/>
  <c r="I654" i="5"/>
  <c r="K654" i="5" s="1"/>
  <c r="L658" i="5"/>
  <c r="O658" i="5" s="1"/>
  <c r="M737" i="5"/>
  <c r="P737" i="5" s="1"/>
  <c r="M754" i="5"/>
  <c r="P754" i="5" s="1"/>
  <c r="M770" i="5"/>
  <c r="P770" i="5" s="1"/>
  <c r="L786" i="5"/>
  <c r="O786" i="5" s="1"/>
  <c r="L805" i="5"/>
  <c r="O805" i="5" s="1"/>
  <c r="K576" i="5"/>
  <c r="M685" i="5"/>
  <c r="P685" i="5" s="1"/>
  <c r="M786" i="5"/>
  <c r="P786" i="5" s="1"/>
  <c r="K800" i="5"/>
  <c r="M805" i="5"/>
  <c r="P805" i="5" s="1"/>
  <c r="M56" i="4"/>
  <c r="P56" i="4" s="1"/>
  <c r="K700" i="3"/>
  <c r="K708" i="3"/>
  <c r="K144" i="4"/>
  <c r="O154" i="4"/>
  <c r="M167" i="4"/>
  <c r="M165" i="4" s="1"/>
  <c r="L279" i="4"/>
  <c r="L277" i="4" s="1"/>
  <c r="K340" i="4"/>
  <c r="M424" i="4"/>
  <c r="M421" i="4" s="1"/>
  <c r="P421" i="4" s="1"/>
  <c r="I442" i="4"/>
  <c r="K442" i="4" s="1"/>
  <c r="O472" i="4"/>
  <c r="M690" i="4"/>
  <c r="M687" i="4" s="1"/>
  <c r="M685" i="4" s="1"/>
  <c r="P685" i="4" s="1"/>
  <c r="K728" i="4"/>
  <c r="M94" i="4"/>
  <c r="P94" i="4" s="1"/>
  <c r="L533" i="4"/>
  <c r="O533" i="4" s="1"/>
  <c r="M155" i="3"/>
  <c r="P155" i="3" s="1"/>
  <c r="L546" i="4"/>
  <c r="L544" i="4" s="1"/>
  <c r="K309" i="3"/>
  <c r="L23" i="4"/>
  <c r="L21" i="4" s="1"/>
  <c r="L72" i="4"/>
  <c r="O72" i="4" s="1"/>
  <c r="L209" i="4"/>
  <c r="O209" i="4" s="1"/>
  <c r="O285" i="4"/>
  <c r="N318" i="4"/>
  <c r="M330" i="4"/>
  <c r="M328" i="4" s="1"/>
  <c r="L687" i="4"/>
  <c r="L685" i="4" s="1"/>
  <c r="O685" i="4" s="1"/>
  <c r="J722" i="4"/>
  <c r="K722" i="4" s="1"/>
  <c r="M55" i="4"/>
  <c r="M53" i="4" s="1"/>
  <c r="K98" i="4"/>
  <c r="M122" i="4"/>
  <c r="P122" i="4" s="1"/>
  <c r="L187" i="4"/>
  <c r="O187" i="4" s="1"/>
  <c r="L198" i="4"/>
  <c r="O198" i="4" s="1"/>
  <c r="I208" i="4"/>
  <c r="K208" i="4" s="1"/>
  <c r="N263" i="4"/>
  <c r="N261" i="4" s="1"/>
  <c r="L304" i="4"/>
  <c r="O304" i="4" s="1"/>
  <c r="L657" i="4"/>
  <c r="L655" i="4" s="1"/>
  <c r="K726" i="4"/>
  <c r="K495" i="1"/>
  <c r="K699" i="3"/>
  <c r="K725" i="3"/>
  <c r="I77" i="4"/>
  <c r="P154" i="4"/>
  <c r="O168" i="4"/>
  <c r="P407" i="4"/>
  <c r="I559" i="4"/>
  <c r="K594" i="4"/>
  <c r="L688" i="4"/>
  <c r="O688" i="4" s="1"/>
  <c r="K723" i="4"/>
  <c r="L209" i="3"/>
  <c r="O209" i="3" s="1"/>
  <c r="L231" i="3"/>
  <c r="K255" i="3"/>
  <c r="K355" i="3"/>
  <c r="I433" i="3"/>
  <c r="I417" i="3" s="1"/>
  <c r="O59" i="4"/>
  <c r="P74" i="4"/>
  <c r="O170" i="4"/>
  <c r="N167" i="4"/>
  <c r="N165" i="4" s="1"/>
  <c r="P170" i="4"/>
  <c r="L184" i="4"/>
  <c r="O184" i="4" s="1"/>
  <c r="L183" i="4"/>
  <c r="L181" i="4" s="1"/>
  <c r="I226" i="4"/>
  <c r="I180" i="4" s="1"/>
  <c r="K180" i="4" s="1"/>
  <c r="N279" i="4"/>
  <c r="N277" i="4" s="1"/>
  <c r="N280" i="4"/>
  <c r="P280" i="4" s="1"/>
  <c r="O303" i="4"/>
  <c r="L301" i="4"/>
  <c r="O301" i="4" s="1"/>
  <c r="O331" i="4"/>
  <c r="O397" i="4"/>
  <c r="L391" i="4"/>
  <c r="O391" i="4" s="1"/>
  <c r="O333" i="3"/>
  <c r="P71" i="4"/>
  <c r="M68" i="4"/>
  <c r="P68" i="4" s="1"/>
  <c r="I76" i="4"/>
  <c r="K76" i="4" s="1"/>
  <c r="M392" i="4"/>
  <c r="P392" i="4" s="1"/>
  <c r="M391" i="4"/>
  <c r="P391" i="4" s="1"/>
  <c r="P394" i="4"/>
  <c r="N167" i="1"/>
  <c r="N165" i="1" s="1"/>
  <c r="K311" i="1"/>
  <c r="K360" i="1"/>
  <c r="P137" i="4"/>
  <c r="M135" i="4"/>
  <c r="P135" i="4" s="1"/>
  <c r="I314" i="4"/>
  <c r="K314" i="4" s="1"/>
  <c r="K325" i="4"/>
  <c r="N330" i="4"/>
  <c r="N328" i="4" s="1"/>
  <c r="N334" i="4"/>
  <c r="P334" i="4" s="1"/>
  <c r="I443" i="4"/>
  <c r="K443" i="4" s="1"/>
  <c r="K462" i="4"/>
  <c r="P49" i="4"/>
  <c r="M43" i="4"/>
  <c r="M41" i="4" s="1"/>
  <c r="P59" i="4"/>
  <c r="I276" i="4"/>
  <c r="K276" i="4" s="1"/>
  <c r="K287" i="4"/>
  <c r="K720" i="4"/>
  <c r="L183" i="3"/>
  <c r="L181" i="3" s="1"/>
  <c r="L334" i="3"/>
  <c r="O334" i="3" s="1"/>
  <c r="K462" i="3"/>
  <c r="N55" i="4"/>
  <c r="N53" i="4" s="1"/>
  <c r="N90" i="4"/>
  <c r="N88" i="4" s="1"/>
  <c r="N91" i="4"/>
  <c r="P91" i="4" s="1"/>
  <c r="L94" i="4"/>
  <c r="O94" i="4" s="1"/>
  <c r="L90" i="4"/>
  <c r="O96" i="4"/>
  <c r="O173" i="4"/>
  <c r="L171" i="4"/>
  <c r="O171" i="4" s="1"/>
  <c r="L167" i="4"/>
  <c r="L165" i="4" s="1"/>
  <c r="O410" i="4"/>
  <c r="L408" i="4"/>
  <c r="O408" i="4" s="1"/>
  <c r="K674" i="4"/>
  <c r="K673" i="4"/>
  <c r="I654" i="4"/>
  <c r="M94" i="3"/>
  <c r="P94" i="3" s="1"/>
  <c r="N391" i="3"/>
  <c r="N389" i="3" s="1"/>
  <c r="O46" i="4"/>
  <c r="L525" i="4"/>
  <c r="O525" i="4" s="1"/>
  <c r="J537" i="4"/>
  <c r="J522" i="4" s="1"/>
  <c r="K538" i="4"/>
  <c r="L33" i="3"/>
  <c r="O33" i="3" s="1"/>
  <c r="P61" i="4"/>
  <c r="M151" i="4"/>
  <c r="O282" i="4"/>
  <c r="M300" i="4"/>
  <c r="M298" i="4" s="1"/>
  <c r="K355" i="4"/>
  <c r="K369" i="4"/>
  <c r="K372" i="4"/>
  <c r="L404" i="4"/>
  <c r="L447" i="4"/>
  <c r="L469" i="4"/>
  <c r="L467" i="4" s="1"/>
  <c r="O467" i="4" s="1"/>
  <c r="I628" i="4"/>
  <c r="K628" i="4" s="1"/>
  <c r="K725" i="4"/>
  <c r="N26" i="4"/>
  <c r="N16" i="4" s="1"/>
  <c r="N14" i="4" s="1"/>
  <c r="P266" i="4"/>
  <c r="P301" i="4"/>
  <c r="J327" i="4"/>
  <c r="K327" i="4" s="1"/>
  <c r="K378" i="4"/>
  <c r="M404" i="4"/>
  <c r="P404" i="4" s="1"/>
  <c r="L788" i="4"/>
  <c r="O788" i="4" s="1"/>
  <c r="P138" i="4"/>
  <c r="K100" i="4"/>
  <c r="O266" i="4"/>
  <c r="M279" i="4"/>
  <c r="M277" i="4" s="1"/>
  <c r="M304" i="4"/>
  <c r="P304" i="4" s="1"/>
  <c r="L405" i="4"/>
  <c r="O405" i="4" s="1"/>
  <c r="M23" i="4"/>
  <c r="M21" i="4" s="1"/>
  <c r="O135" i="4"/>
  <c r="P168" i="4"/>
  <c r="L217" i="4"/>
  <c r="O217" i="4" s="1"/>
  <c r="I233" i="4"/>
  <c r="K233" i="4" s="1"/>
  <c r="M263" i="4"/>
  <c r="P282" i="4"/>
  <c r="P336" i="4"/>
  <c r="K374" i="4"/>
  <c r="I434" i="4"/>
  <c r="K434" i="4" s="1"/>
  <c r="K537" i="4"/>
  <c r="J721" i="4"/>
  <c r="K721" i="4" s="1"/>
  <c r="L789" i="4"/>
  <c r="O789" i="4" s="1"/>
  <c r="L249" i="4"/>
  <c r="O249" i="4" s="1"/>
  <c r="L230" i="4"/>
  <c r="P807" i="4"/>
  <c r="M805" i="4"/>
  <c r="P805" i="4" s="1"/>
  <c r="M134" i="2"/>
  <c r="P134" i="2" s="1"/>
  <c r="P173" i="2"/>
  <c r="N263" i="2"/>
  <c r="N261" i="2" s="1"/>
  <c r="I314" i="2"/>
  <c r="K314" i="2" s="1"/>
  <c r="O93" i="3"/>
  <c r="L125" i="3"/>
  <c r="O125" i="3" s="1"/>
  <c r="L155" i="3"/>
  <c r="O155" i="3" s="1"/>
  <c r="K224" i="3"/>
  <c r="M279" i="3"/>
  <c r="P279" i="3" s="1"/>
  <c r="M334" i="3"/>
  <c r="P334" i="3" s="1"/>
  <c r="N330" i="3"/>
  <c r="N328" i="3" s="1"/>
  <c r="L687" i="3"/>
  <c r="O687" i="3" s="1"/>
  <c r="O690" i="3"/>
  <c r="O186" i="4"/>
  <c r="N183" i="4"/>
  <c r="P186" i="4"/>
  <c r="M317" i="4"/>
  <c r="P323" i="4"/>
  <c r="L43" i="3"/>
  <c r="L41" i="3" s="1"/>
  <c r="L263" i="3"/>
  <c r="L261" i="3" s="1"/>
  <c r="O22" i="4"/>
  <c r="L19" i="4"/>
  <c r="L12" i="4"/>
  <c r="J87" i="4"/>
  <c r="K87" i="4" s="1"/>
  <c r="K99" i="4"/>
  <c r="O166" i="4"/>
  <c r="K204" i="4"/>
  <c r="I197" i="4"/>
  <c r="K197" i="4" s="1"/>
  <c r="N447" i="4"/>
  <c r="N33" i="4"/>
  <c r="N446" i="4"/>
  <c r="N444" i="4" s="1"/>
  <c r="M121" i="4"/>
  <c r="M26" i="4"/>
  <c r="P127" i="4"/>
  <c r="K538" i="1"/>
  <c r="L422" i="2"/>
  <c r="O422" i="2" s="1"/>
  <c r="L47" i="3"/>
  <c r="O47" i="3" s="1"/>
  <c r="O285" i="3"/>
  <c r="L688" i="3"/>
  <c r="O688" i="3" s="1"/>
  <c r="O15" i="4"/>
  <c r="N19" i="4"/>
  <c r="N69" i="4"/>
  <c r="N68" i="4"/>
  <c r="N66" i="4" s="1"/>
  <c r="L155" i="4"/>
  <c r="O155" i="4" s="1"/>
  <c r="L151" i="4"/>
  <c r="O157" i="4"/>
  <c r="L263" i="4"/>
  <c r="O269" i="4"/>
  <c r="L55" i="4"/>
  <c r="O61" i="4"/>
  <c r="L26" i="4"/>
  <c r="P299" i="4"/>
  <c r="I76" i="3"/>
  <c r="I64" i="3" s="1"/>
  <c r="K64" i="3" s="1"/>
  <c r="L151" i="3"/>
  <c r="L149" i="3" s="1"/>
  <c r="O149" i="3" s="1"/>
  <c r="K340" i="3"/>
  <c r="K360" i="3"/>
  <c r="K378" i="3"/>
  <c r="N392" i="3"/>
  <c r="O431" i="3"/>
  <c r="N9" i="4"/>
  <c r="N44" i="4"/>
  <c r="P46" i="4"/>
  <c r="N43" i="4"/>
  <c r="N41" i="4" s="1"/>
  <c r="N23" i="4"/>
  <c r="M171" i="4"/>
  <c r="P171" i="4" s="1"/>
  <c r="P173" i="4"/>
  <c r="M351" i="4"/>
  <c r="P351" i="4" s="1"/>
  <c r="P353" i="4"/>
  <c r="M347" i="4"/>
  <c r="K381" i="2"/>
  <c r="M395" i="2"/>
  <c r="P395" i="2" s="1"/>
  <c r="M404" i="2"/>
  <c r="P404" i="2" s="1"/>
  <c r="L68" i="3"/>
  <c r="O68" i="3" s="1"/>
  <c r="O71" i="3"/>
  <c r="M138" i="3"/>
  <c r="P138" i="3" s="1"/>
  <c r="J143" i="3"/>
  <c r="J131" i="3" s="1"/>
  <c r="M267" i="3"/>
  <c r="P267" i="3" s="1"/>
  <c r="L330" i="3"/>
  <c r="L328" i="3" s="1"/>
  <c r="P54" i="4"/>
  <c r="P93" i="4"/>
  <c r="M90" i="4"/>
  <c r="M134" i="4"/>
  <c r="P140" i="4"/>
  <c r="N347" i="4"/>
  <c r="N345" i="4" s="1"/>
  <c r="P350" i="4"/>
  <c r="O336" i="4"/>
  <c r="L330" i="4"/>
  <c r="O390" i="4"/>
  <c r="K435" i="4"/>
  <c r="J433" i="4"/>
  <c r="J417" i="4" s="1"/>
  <c r="I433" i="4"/>
  <c r="P738" i="4"/>
  <c r="M737" i="4"/>
  <c r="P737" i="4" s="1"/>
  <c r="P771" i="4"/>
  <c r="M770" i="4"/>
  <c r="P770" i="4" s="1"/>
  <c r="P788" i="4"/>
  <c r="M786" i="4"/>
  <c r="P786" i="4" s="1"/>
  <c r="M15" i="4"/>
  <c r="P29" i="4"/>
  <c r="P32" i="4"/>
  <c r="P35" i="4"/>
  <c r="O93" i="4"/>
  <c r="I112" i="4"/>
  <c r="K112" i="4" s="1"/>
  <c r="O127" i="4"/>
  <c r="O140" i="4"/>
  <c r="K145" i="4"/>
  <c r="I143" i="4"/>
  <c r="M183" i="4"/>
  <c r="L238" i="4"/>
  <c r="P303" i="4"/>
  <c r="O323" i="4"/>
  <c r="L334" i="4"/>
  <c r="J364" i="4"/>
  <c r="K365" i="4"/>
  <c r="L121" i="4"/>
  <c r="O121" i="4" s="1"/>
  <c r="L134" i="4"/>
  <c r="J226" i="4"/>
  <c r="J180" i="4" s="1"/>
  <c r="J288" i="4"/>
  <c r="J275" i="4" s="1"/>
  <c r="I275" i="4"/>
  <c r="L300" i="4"/>
  <c r="L317" i="4"/>
  <c r="O317" i="4" s="1"/>
  <c r="J654" i="4"/>
  <c r="K669" i="4"/>
  <c r="O124" i="4"/>
  <c r="O137" i="4"/>
  <c r="K146" i="4"/>
  <c r="P157" i="4"/>
  <c r="P166" i="4"/>
  <c r="I174" i="4"/>
  <c r="K237" i="4"/>
  <c r="O320" i="4"/>
  <c r="O138" i="4"/>
  <c r="P184" i="4"/>
  <c r="K216" i="4"/>
  <c r="K248" i="4"/>
  <c r="N300" i="4"/>
  <c r="N298" i="4" s="1"/>
  <c r="N405" i="4"/>
  <c r="N404" i="4"/>
  <c r="N402" i="4" s="1"/>
  <c r="M331" i="4"/>
  <c r="P331" i="4" s="1"/>
  <c r="O333" i="4"/>
  <c r="I364" i="4"/>
  <c r="K381" i="4"/>
  <c r="P445" i="4"/>
  <c r="J593" i="4"/>
  <c r="P686" i="4"/>
  <c r="O787" i="4"/>
  <c r="I785" i="4"/>
  <c r="K785" i="4" s="1"/>
  <c r="K800" i="4"/>
  <c r="O806" i="4"/>
  <c r="L805" i="4"/>
  <c r="O805" i="4" s="1"/>
  <c r="P545" i="4"/>
  <c r="N544" i="4"/>
  <c r="P657" i="4"/>
  <c r="M655" i="4"/>
  <c r="M658" i="4"/>
  <c r="P660" i="4"/>
  <c r="O350" i="4"/>
  <c r="K362" i="4"/>
  <c r="M546" i="4"/>
  <c r="P546" i="4" s="1"/>
  <c r="M547" i="4"/>
  <c r="P547" i="4" s="1"/>
  <c r="P549" i="4"/>
  <c r="N629" i="4"/>
  <c r="O656" i="4"/>
  <c r="O660" i="4"/>
  <c r="N657" i="4"/>
  <c r="P755" i="4"/>
  <c r="M754" i="4"/>
  <c r="P754" i="4" s="1"/>
  <c r="P346" i="4"/>
  <c r="P348" i="4"/>
  <c r="P403" i="4"/>
  <c r="M446" i="4"/>
  <c r="P446" i="4" s="1"/>
  <c r="M447" i="4"/>
  <c r="P449" i="4"/>
  <c r="L526" i="4"/>
  <c r="O526" i="4" s="1"/>
  <c r="O528" i="4"/>
  <c r="N658" i="4"/>
  <c r="N789" i="4"/>
  <c r="L348" i="4"/>
  <c r="O348" i="4" s="1"/>
  <c r="L351" i="4"/>
  <c r="O351" i="4" s="1"/>
  <c r="P390" i="4"/>
  <c r="L392" i="4"/>
  <c r="O392" i="4" s="1"/>
  <c r="L395" i="4"/>
  <c r="O395" i="4" s="1"/>
  <c r="P420" i="4"/>
  <c r="L422" i="4"/>
  <c r="O422" i="4" s="1"/>
  <c r="O449" i="4"/>
  <c r="P503" i="4"/>
  <c r="O549" i="4"/>
  <c r="O630" i="4"/>
  <c r="L639" i="4"/>
  <c r="O639" i="4" s="1"/>
  <c r="K675" i="4"/>
  <c r="L421" i="4"/>
  <c r="O421" i="4" s="1"/>
  <c r="L429" i="4"/>
  <c r="O429" i="4" s="1"/>
  <c r="N470" i="4"/>
  <c r="L547" i="4"/>
  <c r="O547" i="4" s="1"/>
  <c r="L631" i="4"/>
  <c r="O631" i="4" s="1"/>
  <c r="K672" i="4"/>
  <c r="N300" i="2"/>
  <c r="N298" i="2" s="1"/>
  <c r="L429" i="2"/>
  <c r="O429" i="2" s="1"/>
  <c r="O96" i="3"/>
  <c r="O140" i="3"/>
  <c r="O154" i="3"/>
  <c r="K176" i="3"/>
  <c r="L229" i="3"/>
  <c r="L300" i="3"/>
  <c r="O300" i="3" s="1"/>
  <c r="K370" i="3"/>
  <c r="M392" i="3"/>
  <c r="P392" i="3" s="1"/>
  <c r="L405" i="3"/>
  <c r="O405" i="3" s="1"/>
  <c r="L408" i="3"/>
  <c r="O408" i="3" s="1"/>
  <c r="O456" i="3"/>
  <c r="M657" i="1"/>
  <c r="M655" i="1" s="1"/>
  <c r="K146" i="2"/>
  <c r="M408" i="3"/>
  <c r="P408" i="3" s="1"/>
  <c r="P410" i="3"/>
  <c r="K594" i="3"/>
  <c r="M134" i="1"/>
  <c r="M132" i="1" s="1"/>
  <c r="M43" i="3"/>
  <c r="M41" i="3" s="1"/>
  <c r="P58" i="3"/>
  <c r="P93" i="3"/>
  <c r="L121" i="3"/>
  <c r="O121" i="3" s="1"/>
  <c r="K215" i="3"/>
  <c r="L217" i="3"/>
  <c r="O217" i="3" s="1"/>
  <c r="L279" i="3"/>
  <c r="M300" i="3"/>
  <c r="P300" i="3" s="1"/>
  <c r="M317" i="3"/>
  <c r="P317" i="3" s="1"/>
  <c r="P348" i="3"/>
  <c r="I248" i="2"/>
  <c r="K248" i="2" s="1"/>
  <c r="K365" i="2"/>
  <c r="K435" i="2"/>
  <c r="L469" i="2"/>
  <c r="O469" i="2" s="1"/>
  <c r="L36" i="3"/>
  <c r="O36" i="3" s="1"/>
  <c r="P74" i="3"/>
  <c r="L91" i="3"/>
  <c r="O91" i="3" s="1"/>
  <c r="L122" i="3"/>
  <c r="O122" i="3" s="1"/>
  <c r="N300" i="3"/>
  <c r="N298" i="3" s="1"/>
  <c r="M318" i="3"/>
  <c r="P318" i="3" s="1"/>
  <c r="M300" i="2"/>
  <c r="P49" i="3"/>
  <c r="M91" i="3"/>
  <c r="P91" i="3" s="1"/>
  <c r="M122" i="3"/>
  <c r="P122" i="3" s="1"/>
  <c r="M134" i="3"/>
  <c r="P134" i="3" s="1"/>
  <c r="O137" i="3"/>
  <c r="P152" i="3"/>
  <c r="I233" i="3"/>
  <c r="K233" i="3" s="1"/>
  <c r="L280" i="3"/>
  <c r="O280" i="3" s="1"/>
  <c r="M321" i="3"/>
  <c r="P321" i="3" s="1"/>
  <c r="N347" i="3"/>
  <c r="N345" i="3" s="1"/>
  <c r="K385" i="3"/>
  <c r="L404" i="3"/>
  <c r="O404" i="3" s="1"/>
  <c r="M472" i="3"/>
  <c r="P472" i="3" s="1"/>
  <c r="L526" i="3"/>
  <c r="O526" i="3" s="1"/>
  <c r="K340" i="2"/>
  <c r="J721" i="2"/>
  <c r="K721" i="2" s="1"/>
  <c r="O46" i="3"/>
  <c r="L44" i="3"/>
  <c r="O44" i="3" s="1"/>
  <c r="N56" i="3"/>
  <c r="P56" i="3" s="1"/>
  <c r="M55" i="3"/>
  <c r="M53" i="3" s="1"/>
  <c r="M59" i="3"/>
  <c r="P59" i="3" s="1"/>
  <c r="I87" i="3"/>
  <c r="K87" i="3" s="1"/>
  <c r="O168" i="3"/>
  <c r="K204" i="3"/>
  <c r="P306" i="3"/>
  <c r="M304" i="3"/>
  <c r="P304" i="3" s="1"/>
  <c r="N318" i="3"/>
  <c r="N317" i="3"/>
  <c r="N315" i="3" s="1"/>
  <c r="K372" i="3"/>
  <c r="M549" i="3"/>
  <c r="P549" i="3" s="1"/>
  <c r="L632" i="3"/>
  <c r="O632" i="3" s="1"/>
  <c r="L134" i="1"/>
  <c r="L132" i="1" s="1"/>
  <c r="N279" i="1"/>
  <c r="N277" i="1" s="1"/>
  <c r="J466" i="1"/>
  <c r="K466" i="1" s="1"/>
  <c r="J722" i="1"/>
  <c r="K722" i="1" s="1"/>
  <c r="L43" i="2"/>
  <c r="O333" i="2"/>
  <c r="N23" i="3"/>
  <c r="N21" i="3" s="1"/>
  <c r="N43" i="3"/>
  <c r="L59" i="3"/>
  <c r="O59" i="3" s="1"/>
  <c r="N68" i="3"/>
  <c r="N66" i="3" s="1"/>
  <c r="O74" i="3"/>
  <c r="M125" i="3"/>
  <c r="P125" i="3" s="1"/>
  <c r="I130" i="3"/>
  <c r="K130" i="3" s="1"/>
  <c r="L134" i="3"/>
  <c r="O134" i="3" s="1"/>
  <c r="K144" i="3"/>
  <c r="M151" i="3"/>
  <c r="M149" i="3" s="1"/>
  <c r="P168" i="3"/>
  <c r="I190" i="3"/>
  <c r="K190" i="3" s="1"/>
  <c r="L198" i="3"/>
  <c r="O198" i="3" s="1"/>
  <c r="M263" i="3"/>
  <c r="M261" i="3" s="1"/>
  <c r="L331" i="3"/>
  <c r="O331" i="3" s="1"/>
  <c r="M330" i="3"/>
  <c r="M328" i="3" s="1"/>
  <c r="P333" i="3"/>
  <c r="J327" i="3"/>
  <c r="K327" i="3" s="1"/>
  <c r="N405" i="3"/>
  <c r="N404" i="3"/>
  <c r="N402" i="3" s="1"/>
  <c r="O528" i="3"/>
  <c r="K673" i="3"/>
  <c r="I401" i="1"/>
  <c r="K401" i="1" s="1"/>
  <c r="N43" i="2"/>
  <c r="N41" i="2" s="1"/>
  <c r="M125" i="2"/>
  <c r="P125" i="2" s="1"/>
  <c r="M408" i="2"/>
  <c r="P408" i="2" s="1"/>
  <c r="L90" i="3"/>
  <c r="N151" i="3"/>
  <c r="P154" i="3"/>
  <c r="L167" i="3"/>
  <c r="L165" i="3" s="1"/>
  <c r="N263" i="3"/>
  <c r="N261" i="3" s="1"/>
  <c r="M301" i="3"/>
  <c r="P301" i="3" s="1"/>
  <c r="P331" i="3"/>
  <c r="P350" i="3"/>
  <c r="P353" i="3"/>
  <c r="K374" i="3"/>
  <c r="M405" i="3"/>
  <c r="P405" i="3" s="1"/>
  <c r="L446" i="3"/>
  <c r="O446" i="3" s="1"/>
  <c r="P184" i="3"/>
  <c r="L263" i="2"/>
  <c r="L261" i="2" s="1"/>
  <c r="P46" i="3"/>
  <c r="O58" i="3"/>
  <c r="M69" i="3"/>
  <c r="P69" i="3" s="1"/>
  <c r="M68" i="3"/>
  <c r="P68" i="3" s="1"/>
  <c r="K80" i="3"/>
  <c r="M90" i="3"/>
  <c r="M88" i="3" s="1"/>
  <c r="M121" i="3"/>
  <c r="N134" i="3"/>
  <c r="N132" i="3" s="1"/>
  <c r="K145" i="3"/>
  <c r="N264" i="3"/>
  <c r="P264" i="3" s="1"/>
  <c r="P266" i="3"/>
  <c r="I314" i="3"/>
  <c r="K314" i="3" s="1"/>
  <c r="P351" i="3"/>
  <c r="K359" i="3"/>
  <c r="K362" i="3"/>
  <c r="J433" i="3"/>
  <c r="J417" i="3" s="1"/>
  <c r="L477" i="3"/>
  <c r="O477" i="3" s="1"/>
  <c r="O479" i="3"/>
  <c r="K669" i="3"/>
  <c r="M688" i="3"/>
  <c r="P688" i="3" s="1"/>
  <c r="M687" i="3"/>
  <c r="P687" i="3" s="1"/>
  <c r="K821" i="3"/>
  <c r="K824" i="3"/>
  <c r="K827" i="3"/>
  <c r="K271" i="3"/>
  <c r="I260" i="3"/>
  <c r="K260" i="3" s="1"/>
  <c r="L228" i="2"/>
  <c r="K271" i="2"/>
  <c r="N330" i="2"/>
  <c r="N328" i="2" s="1"/>
  <c r="I86" i="3"/>
  <c r="K86" i="3" s="1"/>
  <c r="N90" i="3"/>
  <c r="L238" i="3"/>
  <c r="O238" i="3" s="1"/>
  <c r="L317" i="3"/>
  <c r="K369" i="3"/>
  <c r="L422" i="3"/>
  <c r="O422" i="3" s="1"/>
  <c r="M424" i="3"/>
  <c r="M421" i="3" s="1"/>
  <c r="M419" i="3" s="1"/>
  <c r="K675" i="3"/>
  <c r="K672" i="3"/>
  <c r="I654" i="3"/>
  <c r="K654" i="3" s="1"/>
  <c r="J722" i="3"/>
  <c r="K722" i="3" s="1"/>
  <c r="N55" i="3"/>
  <c r="N53" i="3" s="1"/>
  <c r="O184" i="3"/>
  <c r="K338" i="3"/>
  <c r="I364" i="3"/>
  <c r="K381" i="3"/>
  <c r="K822" i="3"/>
  <c r="K825" i="3"/>
  <c r="K828" i="3"/>
  <c r="K823" i="3"/>
  <c r="K826" i="3"/>
  <c r="P44" i="3"/>
  <c r="L68" i="2"/>
  <c r="O68" i="2" s="1"/>
  <c r="L56" i="3"/>
  <c r="N43" i="1"/>
  <c r="N41" i="1" s="1"/>
  <c r="K102" i="1"/>
  <c r="L230" i="1"/>
  <c r="I235" i="1"/>
  <c r="L151" i="2"/>
  <c r="L149" i="2" s="1"/>
  <c r="I233" i="2"/>
  <c r="K233" i="2" s="1"/>
  <c r="I237" i="2"/>
  <c r="K237" i="2" s="1"/>
  <c r="M321" i="2"/>
  <c r="P321" i="2" s="1"/>
  <c r="J364" i="2"/>
  <c r="M391" i="2"/>
  <c r="P391" i="2" s="1"/>
  <c r="O479" i="2"/>
  <c r="K647" i="2"/>
  <c r="L26" i="3"/>
  <c r="P61" i="3"/>
  <c r="P71" i="3"/>
  <c r="K159" i="3"/>
  <c r="M167" i="3"/>
  <c r="O173" i="3"/>
  <c r="M183" i="3"/>
  <c r="O189" i="3"/>
  <c r="I276" i="3"/>
  <c r="K276" i="3" s="1"/>
  <c r="N279" i="3"/>
  <c r="N277" i="3" s="1"/>
  <c r="J288" i="3"/>
  <c r="J275" i="3" s="1"/>
  <c r="O306" i="3"/>
  <c r="L304" i="3"/>
  <c r="O304" i="3" s="1"/>
  <c r="P316" i="3"/>
  <c r="P329" i="3"/>
  <c r="L348" i="3"/>
  <c r="O348" i="3" s="1"/>
  <c r="O350" i="3"/>
  <c r="L347" i="3"/>
  <c r="J537" i="3"/>
  <c r="J522" i="3" s="1"/>
  <c r="K538" i="3"/>
  <c r="P91" i="1"/>
  <c r="L69" i="2"/>
  <c r="O69" i="2" s="1"/>
  <c r="L138" i="2"/>
  <c r="O138" i="2" s="1"/>
  <c r="I143" i="2"/>
  <c r="I131" i="2" s="1"/>
  <c r="K131" i="2" s="1"/>
  <c r="O168" i="2"/>
  <c r="K338" i="2"/>
  <c r="K379" i="2"/>
  <c r="M392" i="2"/>
  <c r="P392" i="2" s="1"/>
  <c r="L546" i="2"/>
  <c r="O546" i="2" s="1"/>
  <c r="L12" i="3"/>
  <c r="L19" i="3"/>
  <c r="M26" i="3"/>
  <c r="L55" i="3"/>
  <c r="N121" i="3"/>
  <c r="N119" i="3" s="1"/>
  <c r="K143" i="3"/>
  <c r="N167" i="3"/>
  <c r="N165" i="3" s="1"/>
  <c r="O170" i="3"/>
  <c r="P173" i="3"/>
  <c r="N183" i="3"/>
  <c r="N181" i="3" s="1"/>
  <c r="O186" i="3"/>
  <c r="P189" i="3"/>
  <c r="I237" i="3"/>
  <c r="K244" i="3"/>
  <c r="P262" i="3"/>
  <c r="O266" i="3"/>
  <c r="L264" i="3"/>
  <c r="P285" i="3"/>
  <c r="M283" i="3"/>
  <c r="P283" i="3" s="1"/>
  <c r="K288" i="3"/>
  <c r="O390" i="3"/>
  <c r="P299" i="3"/>
  <c r="K728" i="1"/>
  <c r="I112" i="2"/>
  <c r="K112" i="2" s="1"/>
  <c r="K359" i="2"/>
  <c r="K362" i="2"/>
  <c r="L631" i="2"/>
  <c r="O631" i="2" s="1"/>
  <c r="K729" i="2"/>
  <c r="K822" i="2"/>
  <c r="K825" i="2"/>
  <c r="K828" i="2"/>
  <c r="M12" i="3"/>
  <c r="M19" i="3"/>
  <c r="N26" i="3"/>
  <c r="I112" i="3"/>
  <c r="K112" i="3" s="1"/>
  <c r="M135" i="3"/>
  <c r="P135" i="3" s="1"/>
  <c r="P170" i="3"/>
  <c r="P186" i="3"/>
  <c r="L230" i="3"/>
  <c r="K643" i="1"/>
  <c r="L421" i="2"/>
  <c r="L419" i="2" s="1"/>
  <c r="O419" i="2" s="1"/>
  <c r="L23" i="3"/>
  <c r="I77" i="3"/>
  <c r="K174" i="3"/>
  <c r="K235" i="3"/>
  <c r="P282" i="3"/>
  <c r="M280" i="3"/>
  <c r="P280" i="3" s="1"/>
  <c r="I434" i="3"/>
  <c r="K438" i="3"/>
  <c r="P320" i="2"/>
  <c r="K360" i="2"/>
  <c r="K823" i="2"/>
  <c r="K826" i="2"/>
  <c r="M23" i="3"/>
  <c r="M21" i="3" s="1"/>
  <c r="K100" i="3"/>
  <c r="L249" i="3"/>
  <c r="O249" i="3" s="1"/>
  <c r="O269" i="3"/>
  <c r="L267" i="3"/>
  <c r="O267" i="3" s="1"/>
  <c r="O303" i="3"/>
  <c r="L301" i="3"/>
  <c r="O301" i="3" s="1"/>
  <c r="O346" i="3"/>
  <c r="P397" i="3"/>
  <c r="M391" i="3"/>
  <c r="P391" i="3" s="1"/>
  <c r="M395" i="3"/>
  <c r="P395" i="3" s="1"/>
  <c r="P555" i="3"/>
  <c r="M545" i="3"/>
  <c r="O320" i="3"/>
  <c r="O323" i="3"/>
  <c r="O472" i="3"/>
  <c r="N469" i="3"/>
  <c r="N470" i="3"/>
  <c r="P630" i="3"/>
  <c r="M629" i="3"/>
  <c r="P629" i="3" s="1"/>
  <c r="P686" i="3"/>
  <c r="P755" i="3"/>
  <c r="M754" i="3"/>
  <c r="P754" i="3" s="1"/>
  <c r="L351" i="3"/>
  <c r="O351" i="3" s="1"/>
  <c r="O353" i="3"/>
  <c r="O470" i="3"/>
  <c r="L533" i="3"/>
  <c r="O533" i="3" s="1"/>
  <c r="O535" i="3"/>
  <c r="L525" i="3"/>
  <c r="I785" i="3"/>
  <c r="K785" i="3" s="1"/>
  <c r="K800" i="3"/>
  <c r="O806" i="3"/>
  <c r="L805" i="3"/>
  <c r="O805" i="3" s="1"/>
  <c r="O545" i="3"/>
  <c r="O547" i="3"/>
  <c r="I628" i="3"/>
  <c r="K628" i="3" s="1"/>
  <c r="K651" i="3"/>
  <c r="O657" i="3"/>
  <c r="L655" i="3"/>
  <c r="O655" i="3" s="1"/>
  <c r="L658" i="3"/>
  <c r="O658" i="3" s="1"/>
  <c r="O660" i="3"/>
  <c r="M660" i="3"/>
  <c r="K723" i="3"/>
  <c r="L392" i="3"/>
  <c r="O392" i="3" s="1"/>
  <c r="O394" i="3"/>
  <c r="O420" i="3"/>
  <c r="L419" i="3"/>
  <c r="L447" i="3"/>
  <c r="O447" i="3" s="1"/>
  <c r="O449" i="3"/>
  <c r="L555" i="3"/>
  <c r="O555" i="3" s="1"/>
  <c r="L546" i="3"/>
  <c r="O546" i="3" s="1"/>
  <c r="O557" i="3"/>
  <c r="I559" i="3"/>
  <c r="K576" i="3"/>
  <c r="P738" i="3"/>
  <c r="M737" i="3"/>
  <c r="P737" i="3" s="1"/>
  <c r="P771" i="3"/>
  <c r="M770" i="3"/>
  <c r="P770" i="3" s="1"/>
  <c r="M347" i="3"/>
  <c r="L395" i="3"/>
  <c r="O395" i="3" s="1"/>
  <c r="O397" i="3"/>
  <c r="N737" i="3"/>
  <c r="N770" i="3"/>
  <c r="O787" i="3"/>
  <c r="L469" i="3"/>
  <c r="K593" i="3"/>
  <c r="O791" i="3"/>
  <c r="J365" i="3"/>
  <c r="O424" i="3"/>
  <c r="I442" i="3"/>
  <c r="K442" i="3" s="1"/>
  <c r="O549" i="3"/>
  <c r="L639" i="3"/>
  <c r="O639" i="3" s="1"/>
  <c r="L631" i="3"/>
  <c r="N279" i="2"/>
  <c r="N277" i="2" s="1"/>
  <c r="J77" i="1"/>
  <c r="J65" i="1" s="1"/>
  <c r="L47" i="2"/>
  <c r="O47" i="2" s="1"/>
  <c r="L72" i="2"/>
  <c r="O72" i="2" s="1"/>
  <c r="O74" i="2"/>
  <c r="J143" i="2"/>
  <c r="J131" i="2" s="1"/>
  <c r="M151" i="2"/>
  <c r="M149" i="2" s="1"/>
  <c r="M155" i="2"/>
  <c r="P155" i="2" s="1"/>
  <c r="P170" i="2"/>
  <c r="K215" i="2"/>
  <c r="L231" i="2"/>
  <c r="M317" i="2"/>
  <c r="M315" i="2" s="1"/>
  <c r="L36" i="2"/>
  <c r="O36" i="2" s="1"/>
  <c r="M549" i="2"/>
  <c r="M546" i="2" s="1"/>
  <c r="P546" i="2" s="1"/>
  <c r="K649" i="2"/>
  <c r="K223" i="1"/>
  <c r="M318" i="2"/>
  <c r="P318" i="2" s="1"/>
  <c r="O351" i="2"/>
  <c r="L547" i="2"/>
  <c r="O547" i="2" s="1"/>
  <c r="L228" i="1"/>
  <c r="M391" i="1"/>
  <c r="P391" i="1" s="1"/>
  <c r="O479" i="1"/>
  <c r="L33" i="2"/>
  <c r="O33" i="2" s="1"/>
  <c r="M121" i="2"/>
  <c r="P121" i="2" s="1"/>
  <c r="N167" i="2"/>
  <c r="M347" i="2"/>
  <c r="M345" i="2" s="1"/>
  <c r="I364" i="2"/>
  <c r="M43" i="1"/>
  <c r="M122" i="2"/>
  <c r="P122" i="2" s="1"/>
  <c r="I197" i="2"/>
  <c r="K197" i="2" s="1"/>
  <c r="L788" i="2"/>
  <c r="O788" i="2" s="1"/>
  <c r="K369" i="1"/>
  <c r="J568" i="1"/>
  <c r="K568" i="1" s="1"/>
  <c r="P44" i="2"/>
  <c r="I148" i="2"/>
  <c r="K148" i="2" s="1"/>
  <c r="L217" i="2"/>
  <c r="O217" i="2" s="1"/>
  <c r="L229" i="2"/>
  <c r="M263" i="2"/>
  <c r="M261" i="2" s="1"/>
  <c r="P280" i="2"/>
  <c r="M330" i="2"/>
  <c r="P336" i="2"/>
  <c r="K372" i="2"/>
  <c r="K385" i="2"/>
  <c r="L395" i="2"/>
  <c r="O395" i="2" s="1"/>
  <c r="I559" i="2"/>
  <c r="K559" i="2" s="1"/>
  <c r="J722" i="2"/>
  <c r="K722" i="2" s="1"/>
  <c r="O61" i="2"/>
  <c r="L26" i="2"/>
  <c r="M183" i="2"/>
  <c r="P186" i="2"/>
  <c r="M184" i="2"/>
  <c r="P184" i="2" s="1"/>
  <c r="L23" i="2"/>
  <c r="L21" i="2" s="1"/>
  <c r="P61" i="2"/>
  <c r="M59" i="2"/>
  <c r="P59" i="2" s="1"/>
  <c r="O137" i="2"/>
  <c r="L135" i="2"/>
  <c r="O135" i="2" s="1"/>
  <c r="N183" i="2"/>
  <c r="N181" i="2" s="1"/>
  <c r="O285" i="1"/>
  <c r="L283" i="1"/>
  <c r="O283" i="1" s="1"/>
  <c r="M56" i="2"/>
  <c r="P56" i="2" s="1"/>
  <c r="M55" i="2"/>
  <c r="M53" i="2" s="1"/>
  <c r="K78" i="2"/>
  <c r="I76" i="2"/>
  <c r="K76" i="2" s="1"/>
  <c r="K224" i="2"/>
  <c r="K287" i="2"/>
  <c r="I276" i="2"/>
  <c r="K276" i="2" s="1"/>
  <c r="P306" i="2"/>
  <c r="M304" i="2"/>
  <c r="P304" i="2" s="1"/>
  <c r="J327" i="2"/>
  <c r="K327" i="2" s="1"/>
  <c r="K374" i="2"/>
  <c r="L405" i="2"/>
  <c r="O405" i="2" s="1"/>
  <c r="L404" i="2"/>
  <c r="L402" i="2" s="1"/>
  <c r="O402" i="2" s="1"/>
  <c r="O449" i="2"/>
  <c r="L446" i="2"/>
  <c r="O446" i="2" s="1"/>
  <c r="L447" i="2"/>
  <c r="O447" i="2" s="1"/>
  <c r="M449" i="2"/>
  <c r="K98" i="2"/>
  <c r="I86" i="2"/>
  <c r="K86" i="2" s="1"/>
  <c r="N321" i="2"/>
  <c r="N317" i="2"/>
  <c r="N315" i="2" s="1"/>
  <c r="M279" i="2"/>
  <c r="L94" i="2"/>
  <c r="O94" i="2" s="1"/>
  <c r="O96" i="2"/>
  <c r="L238" i="2"/>
  <c r="O238" i="2" s="1"/>
  <c r="L249" i="2"/>
  <c r="O249" i="2" s="1"/>
  <c r="J288" i="2"/>
  <c r="J275" i="2" s="1"/>
  <c r="L300" i="2"/>
  <c r="P407" i="2"/>
  <c r="M405" i="2"/>
  <c r="P405" i="2" s="1"/>
  <c r="M634" i="2"/>
  <c r="M631" i="2" s="1"/>
  <c r="O634" i="2"/>
  <c r="L632" i="2"/>
  <c r="O632" i="2" s="1"/>
  <c r="K725" i="2"/>
  <c r="L280" i="2"/>
  <c r="O280" i="2" s="1"/>
  <c r="L279" i="2"/>
  <c r="O282" i="2"/>
  <c r="O46" i="2"/>
  <c r="L44" i="2"/>
  <c r="O44" i="2" s="1"/>
  <c r="L43" i="1"/>
  <c r="L41" i="1" s="1"/>
  <c r="L134" i="2"/>
  <c r="O134" i="2" s="1"/>
  <c r="L470" i="2"/>
  <c r="O470" i="2" s="1"/>
  <c r="M472" i="2"/>
  <c r="M469" i="2" s="1"/>
  <c r="P469" i="2" s="1"/>
  <c r="P353" i="2"/>
  <c r="M351" i="2"/>
  <c r="P351" i="2" s="1"/>
  <c r="K146" i="1"/>
  <c r="I388" i="1"/>
  <c r="K388" i="1" s="1"/>
  <c r="K400" i="1"/>
  <c r="N47" i="2"/>
  <c r="M91" i="2"/>
  <c r="P91" i="2" s="1"/>
  <c r="M90" i="2"/>
  <c r="M88" i="2" s="1"/>
  <c r="P189" i="2"/>
  <c r="M187" i="2"/>
  <c r="P187" i="2" s="1"/>
  <c r="L330" i="2"/>
  <c r="O456" i="2"/>
  <c r="J194" i="1"/>
  <c r="O353" i="1"/>
  <c r="N404" i="1"/>
  <c r="N402" i="1" s="1"/>
  <c r="O410" i="1"/>
  <c r="K435" i="1"/>
  <c r="K439" i="1"/>
  <c r="L230" i="2"/>
  <c r="O549" i="2"/>
  <c r="K378" i="1"/>
  <c r="N405" i="1"/>
  <c r="M94" i="2"/>
  <c r="P94" i="2" s="1"/>
  <c r="K176" i="2"/>
  <c r="O472" i="2"/>
  <c r="K723" i="2"/>
  <c r="L198" i="1"/>
  <c r="N209" i="1"/>
  <c r="I233" i="1"/>
  <c r="K379" i="1"/>
  <c r="M68" i="2"/>
  <c r="M168" i="2"/>
  <c r="P168" i="2" s="1"/>
  <c r="I190" i="2"/>
  <c r="K190" i="2" s="1"/>
  <c r="L283" i="2"/>
  <c r="O283" i="2" s="1"/>
  <c r="P333" i="2"/>
  <c r="L347" i="2"/>
  <c r="L345" i="2" s="1"/>
  <c r="K594" i="2"/>
  <c r="K821" i="2"/>
  <c r="K824" i="2"/>
  <c r="K827" i="2"/>
  <c r="L36" i="1"/>
  <c r="O36" i="1" s="1"/>
  <c r="N472" i="1"/>
  <c r="N469" i="1" s="1"/>
  <c r="N467" i="1" s="1"/>
  <c r="K483" i="1"/>
  <c r="J604" i="1"/>
  <c r="K651" i="1"/>
  <c r="K726" i="1"/>
  <c r="K801" i="1"/>
  <c r="P46" i="2"/>
  <c r="L155" i="2"/>
  <c r="O155" i="2" s="1"/>
  <c r="L198" i="2"/>
  <c r="O198" i="2" s="1"/>
  <c r="L209" i="2"/>
  <c r="O209" i="2" s="1"/>
  <c r="M267" i="2"/>
  <c r="P267" i="2" s="1"/>
  <c r="I297" i="2"/>
  <c r="K297" i="2" s="1"/>
  <c r="N69" i="2"/>
  <c r="N68" i="2"/>
  <c r="N66" i="2" s="1"/>
  <c r="N94" i="2"/>
  <c r="N26" i="2"/>
  <c r="O19" i="2"/>
  <c r="O124" i="2"/>
  <c r="L121" i="2"/>
  <c r="L122" i="2"/>
  <c r="O122" i="2" s="1"/>
  <c r="P771" i="2"/>
  <c r="M770" i="2"/>
  <c r="P770" i="2" s="1"/>
  <c r="P788" i="2"/>
  <c r="M786" i="2"/>
  <c r="P786" i="2" s="1"/>
  <c r="P807" i="2"/>
  <c r="M805" i="2"/>
  <c r="P805" i="2" s="1"/>
  <c r="P410" i="1"/>
  <c r="M408" i="1"/>
  <c r="P408" i="1" s="1"/>
  <c r="I77" i="2"/>
  <c r="K79" i="2"/>
  <c r="P738" i="2"/>
  <c r="M737" i="2"/>
  <c r="P737" i="2" s="1"/>
  <c r="P12" i="2"/>
  <c r="N34" i="2"/>
  <c r="N15" i="2"/>
  <c r="L91" i="2"/>
  <c r="O91" i="2" s="1"/>
  <c r="O93" i="2"/>
  <c r="L90" i="2"/>
  <c r="N135" i="2"/>
  <c r="N134" i="2"/>
  <c r="N132" i="2" s="1"/>
  <c r="I164" i="2"/>
  <c r="K164" i="2" s="1"/>
  <c r="K174" i="2"/>
  <c r="O394" i="2"/>
  <c r="L391" i="2"/>
  <c r="L392" i="2"/>
  <c r="O392" i="2" s="1"/>
  <c r="O58" i="2"/>
  <c r="L55" i="2"/>
  <c r="L56" i="2"/>
  <c r="O56" i="2" s="1"/>
  <c r="M526" i="1"/>
  <c r="M525" i="1"/>
  <c r="M523" i="1" s="1"/>
  <c r="N135" i="1"/>
  <c r="N134" i="1"/>
  <c r="L171" i="2"/>
  <c r="O171" i="2" s="1"/>
  <c r="O173" i="2"/>
  <c r="L318" i="2"/>
  <c r="O318" i="2" s="1"/>
  <c r="O320" i="2"/>
  <c r="L317" i="2"/>
  <c r="L470" i="1"/>
  <c r="L469" i="1"/>
  <c r="L467" i="1" s="1"/>
  <c r="O15" i="2"/>
  <c r="P19" i="2"/>
  <c r="N152" i="2"/>
  <c r="P152" i="2" s="1"/>
  <c r="N151" i="2"/>
  <c r="P154" i="2"/>
  <c r="J98" i="1"/>
  <c r="J86" i="1" s="1"/>
  <c r="K86" i="1" s="1"/>
  <c r="N151" i="1"/>
  <c r="N149" i="1" s="1"/>
  <c r="K159" i="1"/>
  <c r="M183" i="1"/>
  <c r="M181" i="1" s="1"/>
  <c r="M267" i="1"/>
  <c r="P267" i="1" s="1"/>
  <c r="N347" i="1"/>
  <c r="N345" i="1" s="1"/>
  <c r="O394" i="1"/>
  <c r="P407" i="1"/>
  <c r="M33" i="1"/>
  <c r="M31" i="1" s="1"/>
  <c r="N12" i="2"/>
  <c r="M23" i="2"/>
  <c r="M26" i="2"/>
  <c r="M24" i="2" s="1"/>
  <c r="N31" i="2"/>
  <c r="K99" i="2"/>
  <c r="L184" i="2"/>
  <c r="O184" i="2" s="1"/>
  <c r="O186" i="2"/>
  <c r="P262" i="2"/>
  <c r="N264" i="2"/>
  <c r="O264" i="2" s="1"/>
  <c r="P266" i="2"/>
  <c r="L321" i="2"/>
  <c r="O321" i="2" s="1"/>
  <c r="O323" i="2"/>
  <c r="K370" i="2"/>
  <c r="N405" i="2"/>
  <c r="N404" i="2"/>
  <c r="N402" i="2" s="1"/>
  <c r="J433" i="2"/>
  <c r="L526" i="2"/>
  <c r="O526" i="2" s="1"/>
  <c r="O528" i="2"/>
  <c r="M528" i="2"/>
  <c r="K593" i="2"/>
  <c r="J592" i="2"/>
  <c r="K592" i="2" s="1"/>
  <c r="O124" i="1"/>
  <c r="O348" i="1"/>
  <c r="N19" i="2"/>
  <c r="L187" i="2"/>
  <c r="O187" i="2" s="1"/>
  <c r="O189" i="2"/>
  <c r="M421" i="2"/>
  <c r="P421" i="2" s="1"/>
  <c r="M422" i="2"/>
  <c r="P422" i="2" s="1"/>
  <c r="P424" i="2"/>
  <c r="M167" i="1"/>
  <c r="M165" i="1" s="1"/>
  <c r="K214" i="1"/>
  <c r="K294" i="1"/>
  <c r="M304" i="1"/>
  <c r="P304" i="1" s="1"/>
  <c r="P25" i="2"/>
  <c r="M15" i="2"/>
  <c r="M9" i="2" s="1"/>
  <c r="P58" i="2"/>
  <c r="P74" i="2"/>
  <c r="M72" i="2"/>
  <c r="P72" i="2" s="1"/>
  <c r="P140" i="2"/>
  <c r="M138" i="2"/>
  <c r="P138" i="2" s="1"/>
  <c r="K144" i="2"/>
  <c r="P299" i="2"/>
  <c r="N301" i="2"/>
  <c r="O301" i="2" s="1"/>
  <c r="P303" i="2"/>
  <c r="K79" i="1"/>
  <c r="O91" i="1"/>
  <c r="K144" i="1"/>
  <c r="J560" i="1"/>
  <c r="K560" i="1" s="1"/>
  <c r="J603" i="1"/>
  <c r="J620" i="1"/>
  <c r="K620" i="1" s="1"/>
  <c r="K700" i="1"/>
  <c r="J701" i="1"/>
  <c r="K701" i="1" s="1"/>
  <c r="K725" i="1"/>
  <c r="O22" i="2"/>
  <c r="P32" i="2"/>
  <c r="M29" i="2"/>
  <c r="M43" i="2"/>
  <c r="N23" i="2"/>
  <c r="N21" i="2" s="1"/>
  <c r="L59" i="2"/>
  <c r="O59" i="2" s="1"/>
  <c r="N90" i="2"/>
  <c r="P93" i="2"/>
  <c r="K115" i="2"/>
  <c r="L125" i="2"/>
  <c r="O125" i="2" s="1"/>
  <c r="O154" i="2"/>
  <c r="L167" i="2"/>
  <c r="N348" i="2"/>
  <c r="P348" i="2" s="1"/>
  <c r="N347" i="2"/>
  <c r="P350" i="2"/>
  <c r="L523" i="2"/>
  <c r="O523" i="2" s="1"/>
  <c r="K115" i="1"/>
  <c r="N228" i="1"/>
  <c r="N231" i="1"/>
  <c r="J236" i="1"/>
  <c r="P320" i="1"/>
  <c r="L12" i="2"/>
  <c r="O29" i="2"/>
  <c r="P49" i="2"/>
  <c r="N55" i="2"/>
  <c r="P71" i="2"/>
  <c r="M69" i="2"/>
  <c r="P69" i="2" s="1"/>
  <c r="K87" i="2"/>
  <c r="N121" i="2"/>
  <c r="N119" i="2" s="1"/>
  <c r="P137" i="2"/>
  <c r="M135" i="2"/>
  <c r="P135" i="2" s="1"/>
  <c r="O170" i="2"/>
  <c r="L183" i="2"/>
  <c r="P331" i="2"/>
  <c r="O266" i="2"/>
  <c r="O269" i="2"/>
  <c r="O278" i="2"/>
  <c r="P282" i="2"/>
  <c r="P285" i="2"/>
  <c r="O303" i="2"/>
  <c r="O306" i="2"/>
  <c r="P329" i="2"/>
  <c r="L331" i="2"/>
  <c r="O331" i="2" s="1"/>
  <c r="L334" i="2"/>
  <c r="O334" i="2" s="1"/>
  <c r="O353" i="2"/>
  <c r="K378" i="2"/>
  <c r="O407" i="2"/>
  <c r="L533" i="2"/>
  <c r="O533" i="2" s="1"/>
  <c r="O535" i="2"/>
  <c r="O787" i="2"/>
  <c r="I785" i="2"/>
  <c r="K785" i="2" s="1"/>
  <c r="K800" i="2"/>
  <c r="O806" i="2"/>
  <c r="L805" i="2"/>
  <c r="O805" i="2" s="1"/>
  <c r="L658" i="2"/>
  <c r="O658" i="2" s="1"/>
  <c r="O660" i="2"/>
  <c r="M660" i="2"/>
  <c r="K369" i="2"/>
  <c r="K460" i="2"/>
  <c r="I442" i="2"/>
  <c r="K442" i="2" s="1"/>
  <c r="N504" i="2"/>
  <c r="N502" i="2" s="1"/>
  <c r="N414" i="2" s="1"/>
  <c r="N505" i="2"/>
  <c r="P524" i="2"/>
  <c r="L657" i="2"/>
  <c r="P755" i="2"/>
  <c r="M754" i="2"/>
  <c r="P754" i="2" s="1"/>
  <c r="O350" i="2"/>
  <c r="J537" i="2"/>
  <c r="J522" i="2" s="1"/>
  <c r="K538" i="2"/>
  <c r="K577" i="2"/>
  <c r="I275" i="2"/>
  <c r="L348" i="2"/>
  <c r="K355" i="2"/>
  <c r="N391" i="2"/>
  <c r="N389" i="2" s="1"/>
  <c r="O410" i="2"/>
  <c r="K440" i="2"/>
  <c r="I434" i="2"/>
  <c r="O545" i="2"/>
  <c r="K651" i="2"/>
  <c r="I628" i="2"/>
  <c r="K628" i="2" s="1"/>
  <c r="P686" i="2"/>
  <c r="O424" i="2"/>
  <c r="P503" i="2"/>
  <c r="O630" i="2"/>
  <c r="K675" i="2"/>
  <c r="K672" i="2"/>
  <c r="L688" i="2"/>
  <c r="O688" i="2" s="1"/>
  <c r="M690" i="2"/>
  <c r="K669" i="2"/>
  <c r="K673" i="2"/>
  <c r="L687" i="2"/>
  <c r="I522" i="2"/>
  <c r="I654" i="2"/>
  <c r="K654" i="2" s="1"/>
  <c r="M68" i="1"/>
  <c r="M66" i="1" s="1"/>
  <c r="M90" i="1"/>
  <c r="M88" i="1" s="1"/>
  <c r="L171" i="1"/>
  <c r="O171" i="1" s="1"/>
  <c r="L183" i="1"/>
  <c r="L181" i="1" s="1"/>
  <c r="O189" i="1"/>
  <c r="N198" i="1"/>
  <c r="J233" i="1"/>
  <c r="L229" i="1"/>
  <c r="K244" i="1"/>
  <c r="M283" i="1"/>
  <c r="P283" i="1" s="1"/>
  <c r="K290" i="1"/>
  <c r="K309" i="1"/>
  <c r="K312" i="1"/>
  <c r="N317" i="1"/>
  <c r="N315" i="1" s="1"/>
  <c r="K338" i="1"/>
  <c r="O397" i="1"/>
  <c r="K492" i="1"/>
  <c r="K670" i="1"/>
  <c r="P32" i="1"/>
  <c r="M47" i="1"/>
  <c r="P47" i="1" s="1"/>
  <c r="P74" i="1"/>
  <c r="N90" i="1"/>
  <c r="N88" i="1" s="1"/>
  <c r="M94" i="1"/>
  <c r="P94" i="1" s="1"/>
  <c r="N152" i="1"/>
  <c r="P152" i="1" s="1"/>
  <c r="L155" i="1"/>
  <c r="O155" i="1" s="1"/>
  <c r="O191" i="1"/>
  <c r="N229" i="1"/>
  <c r="K310" i="1"/>
  <c r="M404" i="1"/>
  <c r="M446" i="1"/>
  <c r="M444" i="1" s="1"/>
  <c r="M470" i="1"/>
  <c r="J569" i="1"/>
  <c r="K569" i="1" s="1"/>
  <c r="J583" i="1"/>
  <c r="J577" i="1" s="1"/>
  <c r="K577" i="1" s="1"/>
  <c r="M631" i="1"/>
  <c r="M629" i="1" s="1"/>
  <c r="M469" i="1"/>
  <c r="M467" i="1" s="1"/>
  <c r="L33" i="1"/>
  <c r="K83" i="1"/>
  <c r="K103" i="1"/>
  <c r="K107" i="1"/>
  <c r="P127" i="1"/>
  <c r="P137" i="1"/>
  <c r="P140" i="1"/>
  <c r="L209" i="1"/>
  <c r="L217" i="1"/>
  <c r="L249" i="1"/>
  <c r="L231" i="1"/>
  <c r="K258" i="1"/>
  <c r="K260" i="1"/>
  <c r="K291" i="1"/>
  <c r="L391" i="1"/>
  <c r="O391" i="1" s="1"/>
  <c r="N449" i="1"/>
  <c r="O449" i="1" s="1"/>
  <c r="K489" i="1"/>
  <c r="J582" i="1"/>
  <c r="J576" i="1" s="1"/>
  <c r="J559" i="1" s="1"/>
  <c r="J621" i="1"/>
  <c r="K621" i="1" s="1"/>
  <c r="K649" i="1"/>
  <c r="L657" i="1"/>
  <c r="L655" i="1" s="1"/>
  <c r="K113" i="1"/>
  <c r="N217" i="1"/>
  <c r="N424" i="1"/>
  <c r="N422" i="1" s="1"/>
  <c r="O422" i="1" s="1"/>
  <c r="K437" i="1"/>
  <c r="K440" i="1"/>
  <c r="K542" i="1"/>
  <c r="K644" i="1"/>
  <c r="J679" i="1"/>
  <c r="J678" i="1" s="1"/>
  <c r="K699" i="1"/>
  <c r="J708" i="1"/>
  <c r="K708" i="1" s="1"/>
  <c r="K720" i="1"/>
  <c r="K81" i="1"/>
  <c r="K109" i="1"/>
  <c r="K224" i="1"/>
  <c r="K247" i="1"/>
  <c r="K275" i="1"/>
  <c r="K297" i="1"/>
  <c r="O350" i="1"/>
  <c r="K381" i="1"/>
  <c r="N391" i="1"/>
  <c r="N389" i="1" s="1"/>
  <c r="L421" i="1"/>
  <c r="L419" i="1" s="1"/>
  <c r="K498" i="1"/>
  <c r="J729" i="1"/>
  <c r="K729" i="1" s="1"/>
  <c r="L788" i="1"/>
  <c r="L786" i="1" s="1"/>
  <c r="J226" i="1"/>
  <c r="J180" i="1" s="1"/>
  <c r="L304" i="1"/>
  <c r="O304" i="1" s="1"/>
  <c r="N230" i="1"/>
  <c r="J235" i="1"/>
  <c r="N280" i="1"/>
  <c r="O280" i="1" s="1"/>
  <c r="M321" i="1"/>
  <c r="P321" i="1" s="1"/>
  <c r="N351" i="1"/>
  <c r="P351" i="1" s="1"/>
  <c r="K362" i="1"/>
  <c r="O71" i="1"/>
  <c r="L121" i="1"/>
  <c r="P157" i="1"/>
  <c r="N23" i="1"/>
  <c r="N21" i="1" s="1"/>
  <c r="L72" i="1"/>
  <c r="O72" i="1" s="1"/>
  <c r="J76" i="1"/>
  <c r="J64" i="1" s="1"/>
  <c r="N121" i="1"/>
  <c r="N119" i="1" s="1"/>
  <c r="P124" i="1"/>
  <c r="M135" i="1"/>
  <c r="M151" i="1"/>
  <c r="O154" i="1"/>
  <c r="L167" i="1"/>
  <c r="L165" i="1" s="1"/>
  <c r="K197" i="1"/>
  <c r="L238" i="1"/>
  <c r="N249" i="1"/>
  <c r="M263" i="1"/>
  <c r="M261" i="1" s="1"/>
  <c r="N300" i="1"/>
  <c r="N298" i="1" s="1"/>
  <c r="N321" i="1"/>
  <c r="O334" i="1"/>
  <c r="L347" i="1"/>
  <c r="K460" i="1"/>
  <c r="O557" i="1"/>
  <c r="L631" i="1"/>
  <c r="L629" i="1" s="1"/>
  <c r="K647" i="1"/>
  <c r="K671" i="1"/>
  <c r="M788" i="1"/>
  <c r="M786" i="1" s="1"/>
  <c r="I130" i="1"/>
  <c r="K130" i="1" s="1"/>
  <c r="P71" i="1"/>
  <c r="I112" i="1"/>
  <c r="M121" i="1"/>
  <c r="O61" i="1"/>
  <c r="L68" i="1"/>
  <c r="L66" i="1" s="1"/>
  <c r="O93" i="1"/>
  <c r="K106" i="1"/>
  <c r="M125" i="1"/>
  <c r="P125" i="1" s="1"/>
  <c r="O127" i="1"/>
  <c r="M138" i="1"/>
  <c r="P138" i="1" s="1"/>
  <c r="K145" i="1"/>
  <c r="P154" i="1"/>
  <c r="I236" i="1"/>
  <c r="K255" i="1"/>
  <c r="N263" i="1"/>
  <c r="N261" i="1" s="1"/>
  <c r="P266" i="1"/>
  <c r="K288" i="1"/>
  <c r="K293" i="1"/>
  <c r="O303" i="1"/>
  <c r="O320" i="1"/>
  <c r="K372" i="1"/>
  <c r="J434" i="1"/>
  <c r="J418" i="1" s="1"/>
  <c r="K462" i="1"/>
  <c r="K485" i="1"/>
  <c r="N528" i="1"/>
  <c r="N526" i="1" s="1"/>
  <c r="O526" i="1" s="1"/>
  <c r="L525" i="1"/>
  <c r="L523" i="1" s="1"/>
  <c r="K541" i="1"/>
  <c r="M546" i="1"/>
  <c r="M544" i="1" s="1"/>
  <c r="J561" i="1"/>
  <c r="K561" i="1" s="1"/>
  <c r="N660" i="1"/>
  <c r="P660" i="1" s="1"/>
  <c r="K723" i="1"/>
  <c r="J721" i="1"/>
  <c r="K721" i="1" s="1"/>
  <c r="J785" i="1"/>
  <c r="O69" i="1"/>
  <c r="P69" i="1"/>
  <c r="K111" i="1"/>
  <c r="K82" i="1"/>
  <c r="K118" i="1"/>
  <c r="K248" i="1"/>
  <c r="P264" i="1"/>
  <c r="O282" i="1"/>
  <c r="M317" i="1"/>
  <c r="M315" i="1" s="1"/>
  <c r="L330" i="1"/>
  <c r="L328" i="1" s="1"/>
  <c r="J327" i="1"/>
  <c r="K327" i="1" s="1"/>
  <c r="I364" i="1"/>
  <c r="L404" i="1"/>
  <c r="O404" i="1" s="1"/>
  <c r="O407" i="1"/>
  <c r="K443" i="1"/>
  <c r="L446" i="1"/>
  <c r="L444" i="1" s="1"/>
  <c r="N549" i="1"/>
  <c r="P549" i="1" s="1"/>
  <c r="J595" i="1"/>
  <c r="N690" i="1"/>
  <c r="P690" i="1" s="1"/>
  <c r="K225" i="1"/>
  <c r="I237" i="1"/>
  <c r="K237" i="1" s="1"/>
  <c r="L267" i="1"/>
  <c r="O267" i="1" s="1"/>
  <c r="L279" i="1"/>
  <c r="L277" i="1" s="1"/>
  <c r="K287" i="1"/>
  <c r="O301" i="1"/>
  <c r="M318" i="1"/>
  <c r="P318" i="1" s="1"/>
  <c r="K359" i="1"/>
  <c r="K370" i="1"/>
  <c r="L454" i="1"/>
  <c r="O454" i="1" s="1"/>
  <c r="K487" i="1"/>
  <c r="J596" i="1"/>
  <c r="N634" i="1"/>
  <c r="O634" i="1" s="1"/>
  <c r="K803" i="1"/>
  <c r="I785" i="1"/>
  <c r="K821" i="1"/>
  <c r="K824" i="1"/>
  <c r="K827" i="1"/>
  <c r="N791" i="1"/>
  <c r="O791" i="1" s="1"/>
  <c r="K822" i="1"/>
  <c r="K825" i="1"/>
  <c r="K828" i="1"/>
  <c r="J675" i="1"/>
  <c r="J669" i="1" s="1"/>
  <c r="J654" i="1" s="1"/>
  <c r="K654" i="1" s="1"/>
  <c r="K823" i="1"/>
  <c r="K826" i="1"/>
  <c r="O32" i="1"/>
  <c r="L29" i="1"/>
  <c r="P61" i="1"/>
  <c r="M59" i="1"/>
  <c r="P59" i="1" s="1"/>
  <c r="N68" i="1"/>
  <c r="L44" i="1"/>
  <c r="L23" i="1"/>
  <c r="P67" i="1"/>
  <c r="L12" i="1"/>
  <c r="M23" i="1"/>
  <c r="M21" i="1" s="1"/>
  <c r="K104" i="1"/>
  <c r="J99" i="1"/>
  <c r="N44" i="1"/>
  <c r="P44" i="1" s="1"/>
  <c r="O46" i="1"/>
  <c r="L94" i="1"/>
  <c r="O94" i="1" s="1"/>
  <c r="J112" i="1"/>
  <c r="K116" i="1"/>
  <c r="O186" i="1"/>
  <c r="N183" i="1"/>
  <c r="P189" i="1"/>
  <c r="M187" i="1"/>
  <c r="P187" i="1" s="1"/>
  <c r="O266" i="1"/>
  <c r="L264" i="1"/>
  <c r="O264" i="1" s="1"/>
  <c r="L263" i="1"/>
  <c r="P29" i="1"/>
  <c r="K215" i="1"/>
  <c r="I208" i="1"/>
  <c r="K208" i="1" s="1"/>
  <c r="P282" i="1"/>
  <c r="M279" i="1"/>
  <c r="M280" i="1"/>
  <c r="J364" i="1"/>
  <c r="K365" i="1"/>
  <c r="M19" i="1"/>
  <c r="P89" i="1"/>
  <c r="L26" i="1"/>
  <c r="L24" i="1" s="1"/>
  <c r="L47" i="1"/>
  <c r="O47" i="1" s="1"/>
  <c r="O49" i="1"/>
  <c r="M26" i="1"/>
  <c r="M24" i="1" s="1"/>
  <c r="P12" i="1"/>
  <c r="M15" i="1"/>
  <c r="M34" i="1"/>
  <c r="P34" i="1" s="1"/>
  <c r="P35" i="1"/>
  <c r="P42" i="1"/>
  <c r="N47" i="1"/>
  <c r="N26" i="1"/>
  <c r="L55" i="1"/>
  <c r="L53" i="1" s="1"/>
  <c r="L56" i="1"/>
  <c r="O58" i="1"/>
  <c r="K78" i="1"/>
  <c r="I76" i="1"/>
  <c r="N184" i="1"/>
  <c r="O184" i="1" s="1"/>
  <c r="J190" i="1"/>
  <c r="K190" i="1" s="1"/>
  <c r="K193" i="1"/>
  <c r="N238" i="1"/>
  <c r="N56" i="1"/>
  <c r="P56" i="1" s="1"/>
  <c r="N55" i="1"/>
  <c r="N53" i="1" s="1"/>
  <c r="O182" i="1"/>
  <c r="O25" i="1"/>
  <c r="L15" i="1"/>
  <c r="M55" i="1"/>
  <c r="O59" i="1"/>
  <c r="K110" i="1"/>
  <c r="J100" i="1"/>
  <c r="K100" i="1" s="1"/>
  <c r="K143" i="1"/>
  <c r="I131" i="1"/>
  <c r="K131" i="1" s="1"/>
  <c r="N168" i="1"/>
  <c r="O168" i="1" s="1"/>
  <c r="O170" i="1"/>
  <c r="O333" i="1"/>
  <c r="N331" i="1"/>
  <c r="O331" i="1" s="1"/>
  <c r="N330" i="1"/>
  <c r="O420" i="1"/>
  <c r="L687" i="1"/>
  <c r="L688" i="1"/>
  <c r="N12" i="1"/>
  <c r="P46" i="1"/>
  <c r="L90" i="1"/>
  <c r="K114" i="1"/>
  <c r="O140" i="1"/>
  <c r="L138" i="1"/>
  <c r="O138" i="1" s="1"/>
  <c r="I148" i="1"/>
  <c r="K148" i="1" s="1"/>
  <c r="L152" i="1"/>
  <c r="K257" i="1"/>
  <c r="O323" i="1"/>
  <c r="L321" i="1"/>
  <c r="O321" i="1" s="1"/>
  <c r="O137" i="1"/>
  <c r="L135" i="1"/>
  <c r="I77" i="1"/>
  <c r="K84" i="1"/>
  <c r="O133" i="1"/>
  <c r="P186" i="1"/>
  <c r="M184" i="1"/>
  <c r="K246" i="1"/>
  <c r="K271" i="1"/>
  <c r="P58" i="1"/>
  <c r="K80" i="1"/>
  <c r="P93" i="1"/>
  <c r="O125" i="1"/>
  <c r="L151" i="1"/>
  <c r="P170" i="1"/>
  <c r="I174" i="1"/>
  <c r="K176" i="1"/>
  <c r="P182" i="1"/>
  <c r="P303" i="1"/>
  <c r="M300" i="1"/>
  <c r="K276" i="1"/>
  <c r="M301" i="1"/>
  <c r="P301" i="1" s="1"/>
  <c r="L317" i="1"/>
  <c r="M168" i="1"/>
  <c r="M171" i="1"/>
  <c r="P171" i="1" s="1"/>
  <c r="K204" i="1"/>
  <c r="I216" i="1"/>
  <c r="K216" i="1" s="1"/>
  <c r="O806" i="1"/>
  <c r="L805" i="1"/>
  <c r="O805" i="1" s="1"/>
  <c r="P133" i="1"/>
  <c r="O150" i="1"/>
  <c r="O262" i="1"/>
  <c r="L318" i="1"/>
  <c r="O318" i="1" s="1"/>
  <c r="K325" i="1"/>
  <c r="O336" i="1"/>
  <c r="M348" i="1"/>
  <c r="P348" i="1" s="1"/>
  <c r="P350" i="1"/>
  <c r="J442" i="1"/>
  <c r="K442" i="1" s="1"/>
  <c r="M331" i="1"/>
  <c r="P333" i="1"/>
  <c r="K385" i="1"/>
  <c r="L547" i="1"/>
  <c r="L300" i="1"/>
  <c r="I314" i="1"/>
  <c r="K314" i="1" s="1"/>
  <c r="M347" i="1"/>
  <c r="M330" i="1"/>
  <c r="M334" i="1"/>
  <c r="P334" i="1" s="1"/>
  <c r="P336" i="1"/>
  <c r="K340" i="1"/>
  <c r="K374" i="1"/>
  <c r="M422" i="1"/>
  <c r="I433" i="1"/>
  <c r="I434" i="1"/>
  <c r="K438" i="1"/>
  <c r="J465" i="1"/>
  <c r="K465" i="1" s="1"/>
  <c r="N504" i="1"/>
  <c r="N502" i="1" s="1"/>
  <c r="N505" i="1"/>
  <c r="P524" i="1"/>
  <c r="J522" i="1"/>
  <c r="K522" i="1" s="1"/>
  <c r="K537" i="1"/>
  <c r="P353" i="1"/>
  <c r="O390" i="1"/>
  <c r="P394" i="1"/>
  <c r="P397" i="1"/>
  <c r="K673" i="1"/>
  <c r="M419" i="1"/>
  <c r="L429" i="1"/>
  <c r="O429" i="1" s="1"/>
  <c r="O456" i="1"/>
  <c r="L502" i="1"/>
  <c r="O502" i="1" s="1"/>
  <c r="L544" i="1"/>
  <c r="I628" i="1"/>
  <c r="K628" i="1" s="1"/>
  <c r="O641" i="1"/>
  <c r="M688" i="1"/>
  <c r="M805" i="1"/>
  <c r="P805" i="1" s="1"/>
  <c r="J355" i="1"/>
  <c r="K355" i="1" s="1"/>
  <c r="M502" i="1"/>
  <c r="P502" i="1" s="1"/>
  <c r="O535" i="1"/>
  <c r="K674" i="1"/>
  <c r="M687" i="1"/>
  <c r="O431" i="1"/>
  <c r="K672" i="1"/>
  <c r="L786" i="9" l="1"/>
  <c r="O786" i="9" s="1"/>
  <c r="L655" i="9"/>
  <c r="O655" i="9" s="1"/>
  <c r="P469" i="14"/>
  <c r="L544" i="14"/>
  <c r="O544" i="14" s="1"/>
  <c r="O469" i="16"/>
  <c r="P263" i="17"/>
  <c r="O66" i="21"/>
  <c r="L655" i="21"/>
  <c r="O655" i="21" s="1"/>
  <c r="L402" i="21"/>
  <c r="O402" i="21" s="1"/>
  <c r="O167" i="20"/>
  <c r="O351" i="17"/>
  <c r="P330" i="21"/>
  <c r="O279" i="17"/>
  <c r="I65" i="16"/>
  <c r="K65" i="16" s="1"/>
  <c r="I64" i="18"/>
  <c r="K64" i="18" s="1"/>
  <c r="O279" i="18"/>
  <c r="O68" i="21"/>
  <c r="I543" i="20"/>
  <c r="K543" i="20" s="1"/>
  <c r="K77" i="18"/>
  <c r="P53" i="20"/>
  <c r="P55" i="20"/>
  <c r="P68" i="21"/>
  <c r="M389" i="20"/>
  <c r="P389" i="20" s="1"/>
  <c r="L402" i="19"/>
  <c r="O402" i="19" s="1"/>
  <c r="J417" i="17"/>
  <c r="K417" i="17" s="1"/>
  <c r="P90" i="20"/>
  <c r="I164" i="16"/>
  <c r="K164" i="16" s="1"/>
  <c r="O90" i="22"/>
  <c r="I180" i="22"/>
  <c r="K180" i="22" s="1"/>
  <c r="P43" i="21"/>
  <c r="L544" i="16"/>
  <c r="O544" i="16" s="1"/>
  <c r="J275" i="17"/>
  <c r="K275" i="17" s="1"/>
  <c r="O657" i="20"/>
  <c r="M655" i="20"/>
  <c r="P655" i="20" s="1"/>
  <c r="K654" i="21"/>
  <c r="O655" i="20"/>
  <c r="P660" i="20"/>
  <c r="O152" i="4"/>
  <c r="L467" i="20"/>
  <c r="O467" i="20" s="1"/>
  <c r="P151" i="22"/>
  <c r="L655" i="13"/>
  <c r="O655" i="13" s="1"/>
  <c r="P151" i="17"/>
  <c r="O151" i="17"/>
  <c r="M119" i="17"/>
  <c r="P119" i="17" s="1"/>
  <c r="M132" i="22"/>
  <c r="P132" i="22" s="1"/>
  <c r="O167" i="10"/>
  <c r="N277" i="17"/>
  <c r="O277" i="17" s="1"/>
  <c r="M467" i="18"/>
  <c r="P467" i="18" s="1"/>
  <c r="P348" i="20"/>
  <c r="M658" i="20"/>
  <c r="P658" i="20" s="1"/>
  <c r="L786" i="22"/>
  <c r="O786" i="22" s="1"/>
  <c r="P55" i="14"/>
  <c r="O43" i="21"/>
  <c r="L389" i="15"/>
  <c r="O389" i="15" s="1"/>
  <c r="M315" i="19"/>
  <c r="P315" i="19" s="1"/>
  <c r="O66" i="18"/>
  <c r="O184" i="19"/>
  <c r="L277" i="22"/>
  <c r="O277" i="22" s="1"/>
  <c r="P263" i="20"/>
  <c r="O68" i="18"/>
  <c r="L227" i="22"/>
  <c r="L629" i="13"/>
  <c r="O629" i="13" s="1"/>
  <c r="I65" i="20"/>
  <c r="K65" i="20" s="1"/>
  <c r="N13" i="22"/>
  <c r="N11" i="22" s="1"/>
  <c r="O33" i="21"/>
  <c r="M389" i="22"/>
  <c r="P389" i="22" s="1"/>
  <c r="M24" i="20"/>
  <c r="L30" i="21"/>
  <c r="O30" i="21" s="1"/>
  <c r="P55" i="21"/>
  <c r="P347" i="21"/>
  <c r="L389" i="17"/>
  <c r="O389" i="17" s="1"/>
  <c r="M470" i="18"/>
  <c r="P470" i="18" s="1"/>
  <c r="P55" i="17"/>
  <c r="M16" i="18"/>
  <c r="M14" i="18" s="1"/>
  <c r="P14" i="18" s="1"/>
  <c r="I65" i="19"/>
  <c r="K65" i="19" s="1"/>
  <c r="O151" i="21"/>
  <c r="P151" i="21"/>
  <c r="P68" i="18"/>
  <c r="P347" i="22"/>
  <c r="L66" i="20"/>
  <c r="O66" i="20" s="1"/>
  <c r="M345" i="21"/>
  <c r="P345" i="21" s="1"/>
  <c r="O301" i="21"/>
  <c r="M149" i="21"/>
  <c r="P149" i="21" s="1"/>
  <c r="L119" i="21"/>
  <c r="O119" i="21" s="1"/>
  <c r="O183" i="22"/>
  <c r="O33" i="22"/>
  <c r="N345" i="22"/>
  <c r="P345" i="22" s="1"/>
  <c r="O347" i="20"/>
  <c r="L523" i="21"/>
  <c r="O523" i="21" s="1"/>
  <c r="P151" i="16"/>
  <c r="P330" i="18"/>
  <c r="O657" i="19"/>
  <c r="P279" i="21"/>
  <c r="P301" i="21"/>
  <c r="M165" i="22"/>
  <c r="P165" i="22" s="1"/>
  <c r="O328" i="21"/>
  <c r="L544" i="22"/>
  <c r="O544" i="22" s="1"/>
  <c r="K364" i="12"/>
  <c r="P330" i="15"/>
  <c r="O184" i="22"/>
  <c r="P68" i="19"/>
  <c r="P330" i="22"/>
  <c r="L16" i="22"/>
  <c r="O16" i="22" s="1"/>
  <c r="K174" i="17"/>
  <c r="O264" i="19"/>
  <c r="L66" i="22"/>
  <c r="O66" i="22" s="1"/>
  <c r="L685" i="19"/>
  <c r="O685" i="19" s="1"/>
  <c r="I131" i="20"/>
  <c r="K131" i="20" s="1"/>
  <c r="P549" i="21"/>
  <c r="O446" i="21"/>
  <c r="M132" i="19"/>
  <c r="P132" i="19" s="1"/>
  <c r="O90" i="20"/>
  <c r="M149" i="20"/>
  <c r="P149" i="20" s="1"/>
  <c r="L444" i="22"/>
  <c r="O444" i="22" s="1"/>
  <c r="O629" i="19"/>
  <c r="P55" i="19"/>
  <c r="O183" i="20"/>
  <c r="L629" i="22"/>
  <c r="O629" i="22" s="1"/>
  <c r="P328" i="22"/>
  <c r="M132" i="20"/>
  <c r="P132" i="20" s="1"/>
  <c r="L227" i="21"/>
  <c r="O121" i="20"/>
  <c r="O300" i="21"/>
  <c r="P330" i="17"/>
  <c r="O68" i="19"/>
  <c r="O330" i="21"/>
  <c r="L30" i="22"/>
  <c r="O30" i="22" s="1"/>
  <c r="O330" i="17"/>
  <c r="O298" i="16"/>
  <c r="L132" i="22"/>
  <c r="O132" i="22" s="1"/>
  <c r="O300" i="16"/>
  <c r="P300" i="21"/>
  <c r="L315" i="21"/>
  <c r="O315" i="21" s="1"/>
  <c r="L467" i="22"/>
  <c r="O467" i="22" s="1"/>
  <c r="P183" i="22"/>
  <c r="M315" i="22"/>
  <c r="P315" i="22" s="1"/>
  <c r="M298" i="22"/>
  <c r="P298" i="22" s="1"/>
  <c r="P300" i="17"/>
  <c r="P90" i="17"/>
  <c r="O90" i="17"/>
  <c r="K364" i="19"/>
  <c r="P43" i="17"/>
  <c r="M41" i="21"/>
  <c r="P41" i="21" s="1"/>
  <c r="M631" i="21"/>
  <c r="P631" i="21" s="1"/>
  <c r="M16" i="22"/>
  <c r="P16" i="22" s="1"/>
  <c r="O238" i="22"/>
  <c r="M389" i="21"/>
  <c r="P389" i="21" s="1"/>
  <c r="P183" i="21"/>
  <c r="K417" i="21"/>
  <c r="P53" i="21"/>
  <c r="O43" i="22"/>
  <c r="O55" i="22"/>
  <c r="P261" i="22"/>
  <c r="L165" i="22"/>
  <c r="O165" i="22" s="1"/>
  <c r="L34" i="19"/>
  <c r="O34" i="19" s="1"/>
  <c r="L149" i="22"/>
  <c r="O149" i="22" s="1"/>
  <c r="O151" i="16"/>
  <c r="P549" i="17"/>
  <c r="M132" i="18"/>
  <c r="P132" i="18" s="1"/>
  <c r="P43" i="20"/>
  <c r="M132" i="21"/>
  <c r="P132" i="21" s="1"/>
  <c r="O261" i="22"/>
  <c r="P263" i="22"/>
  <c r="O41" i="16"/>
  <c r="O43" i="17"/>
  <c r="N181" i="22"/>
  <c r="O181" i="22" s="1"/>
  <c r="O263" i="22"/>
  <c r="N41" i="17"/>
  <c r="P41" i="17" s="1"/>
  <c r="P328" i="17"/>
  <c r="K785" i="18"/>
  <c r="O43" i="20"/>
  <c r="M315" i="20"/>
  <c r="P315" i="20" s="1"/>
  <c r="L16" i="21"/>
  <c r="P43" i="22"/>
  <c r="N88" i="22"/>
  <c r="O88" i="22" s="1"/>
  <c r="K433" i="22"/>
  <c r="O300" i="22"/>
  <c r="L298" i="22"/>
  <c r="O298" i="22" s="1"/>
  <c r="O55" i="20"/>
  <c r="N88" i="20"/>
  <c r="P88" i="20" s="1"/>
  <c r="M685" i="22"/>
  <c r="P685" i="22" s="1"/>
  <c r="L119" i="8"/>
  <c r="O119" i="8" s="1"/>
  <c r="O55" i="21"/>
  <c r="O44" i="21"/>
  <c r="K364" i="21"/>
  <c r="I65" i="22"/>
  <c r="K65" i="22" s="1"/>
  <c r="O36" i="22"/>
  <c r="L34" i="22"/>
  <c r="O34" i="22" s="1"/>
  <c r="O525" i="22"/>
  <c r="L523" i="22"/>
  <c r="O523" i="22" s="1"/>
  <c r="M402" i="20"/>
  <c r="P402" i="20" s="1"/>
  <c r="N16" i="21"/>
  <c r="N14" i="21" s="1"/>
  <c r="O53" i="21"/>
  <c r="M402" i="22"/>
  <c r="P402" i="22" s="1"/>
  <c r="P26" i="22"/>
  <c r="N24" i="22"/>
  <c r="P24" i="22" s="1"/>
  <c r="P55" i="22"/>
  <c r="M53" i="22"/>
  <c r="P53" i="22" s="1"/>
  <c r="L315" i="22"/>
  <c r="O315" i="22" s="1"/>
  <c r="O421" i="22"/>
  <c r="L419" i="22"/>
  <c r="O419" i="22" s="1"/>
  <c r="P167" i="10"/>
  <c r="M119" i="22"/>
  <c r="P119" i="22" s="1"/>
  <c r="P121" i="22"/>
  <c r="P348" i="22"/>
  <c r="M298" i="10"/>
  <c r="P298" i="10" s="1"/>
  <c r="L389" i="19"/>
  <c r="O389" i="19" s="1"/>
  <c r="P41" i="19"/>
  <c r="L786" i="21"/>
  <c r="O786" i="21" s="1"/>
  <c r="L402" i="20"/>
  <c r="O402" i="20" s="1"/>
  <c r="I65" i="21"/>
  <c r="K65" i="21" s="1"/>
  <c r="L685" i="22"/>
  <c r="O685" i="22" s="1"/>
  <c r="M277" i="22"/>
  <c r="P277" i="22" s="1"/>
  <c r="O391" i="22"/>
  <c r="L389" i="22"/>
  <c r="O389" i="22" s="1"/>
  <c r="O55" i="13"/>
  <c r="P331" i="21"/>
  <c r="P56" i="22"/>
  <c r="P277" i="21"/>
  <c r="O152" i="17"/>
  <c r="O657" i="18"/>
  <c r="O446" i="18"/>
  <c r="O263" i="20"/>
  <c r="P264" i="21"/>
  <c r="M24" i="21"/>
  <c r="P24" i="21" s="1"/>
  <c r="M277" i="20"/>
  <c r="P277" i="20" s="1"/>
  <c r="P545" i="22"/>
  <c r="P446" i="22"/>
  <c r="M444" i="22"/>
  <c r="P444" i="22" s="1"/>
  <c r="O657" i="22"/>
  <c r="L328" i="22"/>
  <c r="O328" i="22" s="1"/>
  <c r="O330" i="22"/>
  <c r="L41" i="22"/>
  <c r="O69" i="21"/>
  <c r="P68" i="22"/>
  <c r="M66" i="22"/>
  <c r="P263" i="19"/>
  <c r="L345" i="22"/>
  <c r="O347" i="22"/>
  <c r="O29" i="22"/>
  <c r="M20" i="22"/>
  <c r="P23" i="22"/>
  <c r="M21" i="22"/>
  <c r="P21" i="22" s="1"/>
  <c r="O9" i="22"/>
  <c r="M547" i="22"/>
  <c r="P547" i="22" s="1"/>
  <c r="P549" i="22"/>
  <c r="M546" i="22"/>
  <c r="P546" i="22" s="1"/>
  <c r="M33" i="22"/>
  <c r="M13" i="22" s="1"/>
  <c r="P421" i="22"/>
  <c r="M419" i="22"/>
  <c r="K434" i="22"/>
  <c r="I418" i="22"/>
  <c r="K418" i="22" s="1"/>
  <c r="I64" i="22"/>
  <c r="K64" i="22" s="1"/>
  <c r="K76" i="22"/>
  <c r="P184" i="22"/>
  <c r="P29" i="22"/>
  <c r="P9" i="22"/>
  <c r="K417" i="12"/>
  <c r="L20" i="22"/>
  <c r="L18" i="22" s="1"/>
  <c r="L13" i="22"/>
  <c r="O23" i="22"/>
  <c r="L21" i="22"/>
  <c r="O21" i="22" s="1"/>
  <c r="L277" i="18"/>
  <c r="O277" i="18" s="1"/>
  <c r="O447" i="22"/>
  <c r="M658" i="22"/>
  <c r="P658" i="22" s="1"/>
  <c r="P660" i="22"/>
  <c r="M657" i="22"/>
  <c r="O19" i="22"/>
  <c r="L53" i="22"/>
  <c r="O53" i="22" s="1"/>
  <c r="L119" i="22"/>
  <c r="O119" i="22" s="1"/>
  <c r="L14" i="22"/>
  <c r="O14" i="22" s="1"/>
  <c r="O15" i="22"/>
  <c r="O26" i="22"/>
  <c r="P41" i="22"/>
  <c r="L132" i="21"/>
  <c r="O132" i="21" s="1"/>
  <c r="K288" i="21"/>
  <c r="P634" i="21"/>
  <c r="P447" i="22"/>
  <c r="L402" i="22"/>
  <c r="O402" i="22" s="1"/>
  <c r="I131" i="22"/>
  <c r="K131" i="22" s="1"/>
  <c r="K143" i="22"/>
  <c r="P331" i="22"/>
  <c r="M88" i="22"/>
  <c r="P90" i="22"/>
  <c r="N20" i="22"/>
  <c r="N18" i="22" s="1"/>
  <c r="P167" i="21"/>
  <c r="M546" i="21"/>
  <c r="L34" i="20"/>
  <c r="O34" i="20" s="1"/>
  <c r="K76" i="19"/>
  <c r="I418" i="20"/>
  <c r="K418" i="20" s="1"/>
  <c r="O421" i="21"/>
  <c r="O36" i="21"/>
  <c r="L34" i="21"/>
  <c r="O34" i="21" s="1"/>
  <c r="P167" i="20"/>
  <c r="K433" i="21"/>
  <c r="P23" i="21"/>
  <c r="M21" i="21"/>
  <c r="M688" i="21"/>
  <c r="P688" i="21" s="1"/>
  <c r="P690" i="21"/>
  <c r="M687" i="21"/>
  <c r="M298" i="14"/>
  <c r="P298" i="14" s="1"/>
  <c r="L402" i="17"/>
  <c r="O402" i="17" s="1"/>
  <c r="O68" i="17"/>
  <c r="O525" i="18"/>
  <c r="O523" i="18"/>
  <c r="L629" i="20"/>
  <c r="O629" i="20" s="1"/>
  <c r="M66" i="20"/>
  <c r="P66" i="20" s="1"/>
  <c r="O261" i="20"/>
  <c r="I64" i="20"/>
  <c r="K64" i="20" s="1"/>
  <c r="M328" i="21"/>
  <c r="P328" i="21" s="1"/>
  <c r="P66" i="21"/>
  <c r="P26" i="21"/>
  <c r="O24" i="21"/>
  <c r="M421" i="21"/>
  <c r="M422" i="21"/>
  <c r="P422" i="21" s="1"/>
  <c r="O90" i="21"/>
  <c r="L88" i="21"/>
  <c r="O88" i="21" s="1"/>
  <c r="P168" i="16"/>
  <c r="P472" i="18"/>
  <c r="M149" i="18"/>
  <c r="P149" i="18" s="1"/>
  <c r="L389" i="18"/>
  <c r="O389" i="18" s="1"/>
  <c r="P298" i="19"/>
  <c r="P152" i="19"/>
  <c r="L467" i="21"/>
  <c r="O467" i="21" s="1"/>
  <c r="M20" i="21"/>
  <c r="M18" i="21" s="1"/>
  <c r="O26" i="21"/>
  <c r="M402" i="21"/>
  <c r="P402" i="21" s="1"/>
  <c r="P404" i="21"/>
  <c r="N20" i="21"/>
  <c r="N18" i="21" s="1"/>
  <c r="N21" i="21"/>
  <c r="L13" i="18"/>
  <c r="L11" i="18" s="1"/>
  <c r="O263" i="19"/>
  <c r="O447" i="21"/>
  <c r="N13" i="21"/>
  <c r="N11" i="21" s="1"/>
  <c r="P9" i="21"/>
  <c r="L181" i="20"/>
  <c r="O181" i="20" s="1"/>
  <c r="P632" i="21"/>
  <c r="P447" i="21"/>
  <c r="P263" i="21"/>
  <c r="M261" i="21"/>
  <c r="P261" i="21" s="1"/>
  <c r="P472" i="21"/>
  <c r="M470" i="21"/>
  <c r="P470" i="21" s="1"/>
  <c r="M469" i="21"/>
  <c r="M33" i="21"/>
  <c r="N37" i="21"/>
  <c r="O317" i="20"/>
  <c r="L315" i="20"/>
  <c r="O315" i="20" s="1"/>
  <c r="O23" i="21"/>
  <c r="L20" i="21"/>
  <c r="L13" i="21"/>
  <c r="M658" i="21"/>
  <c r="P658" i="21" s="1"/>
  <c r="P660" i="21"/>
  <c r="M657" i="21"/>
  <c r="M444" i="21"/>
  <c r="P444" i="21" s="1"/>
  <c r="P446" i="21"/>
  <c r="M298" i="21"/>
  <c r="P298" i="21" s="1"/>
  <c r="I64" i="21"/>
  <c r="K64" i="21" s="1"/>
  <c r="K76" i="21"/>
  <c r="O15" i="21"/>
  <c r="L149" i="21"/>
  <c r="O149" i="21" s="1"/>
  <c r="M165" i="21"/>
  <c r="P165" i="21" s="1"/>
  <c r="O419" i="21"/>
  <c r="L277" i="21"/>
  <c r="O277" i="21" s="1"/>
  <c r="O279" i="21"/>
  <c r="O347" i="21"/>
  <c r="L345" i="21"/>
  <c r="O345" i="21" s="1"/>
  <c r="I180" i="21"/>
  <c r="K180" i="21" s="1"/>
  <c r="K226" i="21"/>
  <c r="P90" i="21"/>
  <c r="M88" i="21"/>
  <c r="P88" i="21" s="1"/>
  <c r="O317" i="18"/>
  <c r="O183" i="21"/>
  <c r="L181" i="21"/>
  <c r="O181" i="21" s="1"/>
  <c r="N414" i="21"/>
  <c r="L261" i="21"/>
  <c r="O261" i="21" s="1"/>
  <c r="O263" i="21"/>
  <c r="P317" i="21"/>
  <c r="M315" i="21"/>
  <c r="P315" i="21" s="1"/>
  <c r="K434" i="21"/>
  <c r="I418" i="21"/>
  <c r="K418" i="21" s="1"/>
  <c r="M181" i="21"/>
  <c r="P181" i="21" s="1"/>
  <c r="I164" i="21"/>
  <c r="K164" i="21" s="1"/>
  <c r="K174" i="21"/>
  <c r="K143" i="21"/>
  <c r="I131" i="21"/>
  <c r="K131" i="21" s="1"/>
  <c r="P19" i="21"/>
  <c r="O298" i="21"/>
  <c r="L21" i="21"/>
  <c r="L9" i="21"/>
  <c r="P330" i="19"/>
  <c r="K559" i="21"/>
  <c r="I543" i="21"/>
  <c r="K543" i="21" s="1"/>
  <c r="O391" i="21"/>
  <c r="L389" i="21"/>
  <c r="O389" i="21" s="1"/>
  <c r="P121" i="21"/>
  <c r="M119" i="21"/>
  <c r="P119" i="21" s="1"/>
  <c r="N9" i="21"/>
  <c r="P121" i="20"/>
  <c r="M119" i="20"/>
  <c r="P119" i="20" s="1"/>
  <c r="O19" i="21"/>
  <c r="O546" i="21"/>
  <c r="L544" i="21"/>
  <c r="O544" i="21" s="1"/>
  <c r="O631" i="21"/>
  <c r="L629" i="21"/>
  <c r="O629" i="21" s="1"/>
  <c r="O41" i="21"/>
  <c r="O167" i="21"/>
  <c r="L165" i="21"/>
  <c r="O165" i="21" s="1"/>
  <c r="P15" i="21"/>
  <c r="M14" i="21"/>
  <c r="O330" i="20"/>
  <c r="M298" i="20"/>
  <c r="P298" i="20" s="1"/>
  <c r="P549" i="19"/>
  <c r="O546" i="20"/>
  <c r="P149" i="19"/>
  <c r="P165" i="20"/>
  <c r="O43" i="16"/>
  <c r="P261" i="19"/>
  <c r="M547" i="17"/>
  <c r="P547" i="17" s="1"/>
  <c r="O330" i="18"/>
  <c r="O330" i="19"/>
  <c r="L119" i="19"/>
  <c r="O119" i="19" s="1"/>
  <c r="L328" i="20"/>
  <c r="O328" i="20" s="1"/>
  <c r="O348" i="13"/>
  <c r="O300" i="15"/>
  <c r="O298" i="15"/>
  <c r="L544" i="17"/>
  <c r="O544" i="17" s="1"/>
  <c r="M298" i="18"/>
  <c r="P298" i="18" s="1"/>
  <c r="P121" i="19"/>
  <c r="P330" i="20"/>
  <c r="O168" i="20"/>
  <c r="P300" i="16"/>
  <c r="L149" i="16"/>
  <c r="O149" i="16" s="1"/>
  <c r="L34" i="17"/>
  <c r="O34" i="17" s="1"/>
  <c r="L315" i="18"/>
  <c r="O315" i="18" s="1"/>
  <c r="L419" i="19"/>
  <c r="O419" i="19" s="1"/>
  <c r="M547" i="19"/>
  <c r="P547" i="19" s="1"/>
  <c r="O328" i="18"/>
  <c r="P43" i="18"/>
  <c r="L261" i="19"/>
  <c r="O261" i="19" s="1"/>
  <c r="L523" i="20"/>
  <c r="O523" i="20" s="1"/>
  <c r="O279" i="20"/>
  <c r="L277" i="20"/>
  <c r="O277" i="20" s="1"/>
  <c r="M277" i="3"/>
  <c r="P277" i="3" s="1"/>
  <c r="L444" i="19"/>
  <c r="O444" i="19" s="1"/>
  <c r="P151" i="19"/>
  <c r="M544" i="17"/>
  <c r="P544" i="17" s="1"/>
  <c r="O33" i="17"/>
  <c r="O151" i="19"/>
  <c r="M402" i="19"/>
  <c r="P402" i="19" s="1"/>
  <c r="K433" i="20"/>
  <c r="M41" i="20"/>
  <c r="P41" i="20" s="1"/>
  <c r="O238" i="20"/>
  <c r="L227" i="20"/>
  <c r="P347" i="20"/>
  <c r="M345" i="20"/>
  <c r="P345" i="20" s="1"/>
  <c r="O23" i="20"/>
  <c r="L20" i="20"/>
  <c r="L18" i="20" s="1"/>
  <c r="L13" i="20"/>
  <c r="L11" i="20" s="1"/>
  <c r="O300" i="20"/>
  <c r="L298" i="20"/>
  <c r="O298" i="20" s="1"/>
  <c r="O134" i="20"/>
  <c r="L132" i="20"/>
  <c r="O132" i="20" s="1"/>
  <c r="L544" i="19"/>
  <c r="O544" i="19" s="1"/>
  <c r="P317" i="18"/>
  <c r="K417" i="20"/>
  <c r="N9" i="20"/>
  <c r="P29" i="20"/>
  <c r="N21" i="20"/>
  <c r="P21" i="20" s="1"/>
  <c r="N20" i="20"/>
  <c r="N18" i="20" s="1"/>
  <c r="N13" i="20"/>
  <c r="K76" i="16"/>
  <c r="L31" i="18"/>
  <c r="O31" i="18" s="1"/>
  <c r="P261" i="18"/>
  <c r="M688" i="20"/>
  <c r="P688" i="20" s="1"/>
  <c r="P690" i="20"/>
  <c r="M687" i="20"/>
  <c r="O446" i="20"/>
  <c r="L444" i="20"/>
  <c r="O444" i="20" s="1"/>
  <c r="L419" i="20"/>
  <c r="O421" i="20"/>
  <c r="M14" i="20"/>
  <c r="P15" i="20"/>
  <c r="N16" i="20"/>
  <c r="P26" i="20"/>
  <c r="N24" i="20"/>
  <c r="M544" i="20"/>
  <c r="P544" i="20" s="1"/>
  <c r="L389" i="20"/>
  <c r="O389" i="20" s="1"/>
  <c r="O391" i="20"/>
  <c r="L345" i="20"/>
  <c r="O345" i="20" s="1"/>
  <c r="O41" i="20"/>
  <c r="L21" i="20"/>
  <c r="M261" i="20"/>
  <c r="P261" i="20" s="1"/>
  <c r="P183" i="20"/>
  <c r="M181" i="20"/>
  <c r="P181" i="20" s="1"/>
  <c r="L165" i="20"/>
  <c r="O165" i="20" s="1"/>
  <c r="O56" i="20"/>
  <c r="I226" i="20"/>
  <c r="K237" i="20"/>
  <c r="O53" i="20"/>
  <c r="P330" i="14"/>
  <c r="P528" i="18"/>
  <c r="M328" i="19"/>
  <c r="P328" i="19" s="1"/>
  <c r="P547" i="20"/>
  <c r="O19" i="20"/>
  <c r="O26" i="20"/>
  <c r="L16" i="20"/>
  <c r="L24" i="20"/>
  <c r="L786" i="20"/>
  <c r="O786" i="20" s="1"/>
  <c r="M421" i="20"/>
  <c r="P424" i="20"/>
  <c r="M422" i="20"/>
  <c r="P422" i="20" s="1"/>
  <c r="M33" i="20"/>
  <c r="P12" i="20"/>
  <c r="M9" i="20"/>
  <c r="L88" i="20"/>
  <c r="O151" i="20"/>
  <c r="L149" i="20"/>
  <c r="O149" i="20" s="1"/>
  <c r="O33" i="20"/>
  <c r="L30" i="20"/>
  <c r="L31" i="20"/>
  <c r="O31" i="20" s="1"/>
  <c r="O12" i="20"/>
  <c r="L9" i="20"/>
  <c r="P328" i="20"/>
  <c r="P23" i="20"/>
  <c r="M20" i="20"/>
  <c r="P351" i="14"/>
  <c r="P345" i="18"/>
  <c r="P43" i="19"/>
  <c r="O345" i="19"/>
  <c r="P90" i="18"/>
  <c r="M315" i="17"/>
  <c r="P315" i="17" s="1"/>
  <c r="M657" i="18"/>
  <c r="P657" i="18" s="1"/>
  <c r="P300" i="15"/>
  <c r="L149" i="17"/>
  <c r="O149" i="17" s="1"/>
  <c r="N24" i="18"/>
  <c r="O24" i="18" s="1"/>
  <c r="O347" i="19"/>
  <c r="P44" i="17"/>
  <c r="K559" i="18"/>
  <c r="P348" i="18"/>
  <c r="O631" i="19"/>
  <c r="P348" i="15"/>
  <c r="L132" i="17"/>
  <c r="O132" i="17" s="1"/>
  <c r="L20" i="18"/>
  <c r="L18" i="18" s="1"/>
  <c r="O23" i="18"/>
  <c r="K433" i="18"/>
  <c r="O788" i="18"/>
  <c r="O280" i="18"/>
  <c r="O55" i="18"/>
  <c r="O90" i="18"/>
  <c r="L149" i="19"/>
  <c r="O149" i="19" s="1"/>
  <c r="N16" i="19"/>
  <c r="N14" i="19" s="1"/>
  <c r="N24" i="19"/>
  <c r="O277" i="8"/>
  <c r="P347" i="12"/>
  <c r="O264" i="16"/>
  <c r="P404" i="16"/>
  <c r="P301" i="16"/>
  <c r="K417" i="18"/>
  <c r="P351" i="18"/>
  <c r="O43" i="19"/>
  <c r="L41" i="19"/>
  <c r="O41" i="19" s="1"/>
  <c r="O167" i="6"/>
  <c r="O328" i="14"/>
  <c r="P43" i="16"/>
  <c r="P167" i="16"/>
  <c r="K77" i="17"/>
  <c r="M526" i="18"/>
  <c r="P526" i="18" s="1"/>
  <c r="N41" i="18"/>
  <c r="P41" i="18" s="1"/>
  <c r="O301" i="16"/>
  <c r="O43" i="18"/>
  <c r="P347" i="18"/>
  <c r="O300" i="19"/>
  <c r="P300" i="19"/>
  <c r="L467" i="19"/>
  <c r="O467" i="19" s="1"/>
  <c r="O330" i="16"/>
  <c r="L66" i="16"/>
  <c r="O66" i="16" s="1"/>
  <c r="K275" i="18"/>
  <c r="K143" i="18"/>
  <c r="L132" i="19"/>
  <c r="O132" i="19" s="1"/>
  <c r="M389" i="17"/>
  <c r="P389" i="17" s="1"/>
  <c r="P315" i="18"/>
  <c r="L31" i="19"/>
  <c r="O31" i="19" s="1"/>
  <c r="O33" i="19"/>
  <c r="L30" i="19"/>
  <c r="O183" i="19"/>
  <c r="L181" i="19"/>
  <c r="O181" i="19" s="1"/>
  <c r="O345" i="15"/>
  <c r="L16" i="18"/>
  <c r="O16" i="18" s="1"/>
  <c r="P449" i="19"/>
  <c r="M446" i="19"/>
  <c r="M33" i="19"/>
  <c r="M13" i="19" s="1"/>
  <c r="M447" i="19"/>
  <c r="P447" i="19" s="1"/>
  <c r="M629" i="19"/>
  <c r="P629" i="19" s="1"/>
  <c r="I131" i="19"/>
  <c r="K131" i="19" s="1"/>
  <c r="K143" i="19"/>
  <c r="K559" i="19"/>
  <c r="I543" i="19"/>
  <c r="K543" i="19" s="1"/>
  <c r="N20" i="19"/>
  <c r="N18" i="19" s="1"/>
  <c r="N13" i="19"/>
  <c r="N21" i="19"/>
  <c r="O21" i="19" s="1"/>
  <c r="M277" i="19"/>
  <c r="P277" i="19" s="1"/>
  <c r="L277" i="19"/>
  <c r="O277" i="19" s="1"/>
  <c r="O279" i="19"/>
  <c r="N88" i="19"/>
  <c r="O88" i="19" s="1"/>
  <c r="O90" i="19"/>
  <c r="O90" i="16"/>
  <c r="M88" i="18"/>
  <c r="P88" i="18" s="1"/>
  <c r="P545" i="19"/>
  <c r="M544" i="19"/>
  <c r="P544" i="19" s="1"/>
  <c r="M181" i="19"/>
  <c r="P181" i="19" s="1"/>
  <c r="P183" i="19"/>
  <c r="L24" i="19"/>
  <c r="O26" i="19"/>
  <c r="L16" i="19"/>
  <c r="P23" i="19"/>
  <c r="M20" i="19"/>
  <c r="K248" i="19"/>
  <c r="I226" i="19"/>
  <c r="O23" i="19"/>
  <c r="L20" i="19"/>
  <c r="L13" i="19"/>
  <c r="L11" i="19" s="1"/>
  <c r="O298" i="19"/>
  <c r="N53" i="19"/>
  <c r="P53" i="19" s="1"/>
  <c r="O152" i="16"/>
  <c r="P421" i="19"/>
  <c r="M419" i="19"/>
  <c r="P469" i="19"/>
  <c r="M467" i="19"/>
  <c r="P467" i="19" s="1"/>
  <c r="I418" i="19"/>
  <c r="K418" i="19" s="1"/>
  <c r="K434" i="19"/>
  <c r="P391" i="19"/>
  <c r="M389" i="19"/>
  <c r="P389" i="19" s="1"/>
  <c r="P29" i="19"/>
  <c r="O300" i="18"/>
  <c r="L298" i="18"/>
  <c r="O298" i="18" s="1"/>
  <c r="O55" i="19"/>
  <c r="P347" i="19"/>
  <c r="M345" i="19"/>
  <c r="P345" i="19" s="1"/>
  <c r="P347" i="15"/>
  <c r="L149" i="18"/>
  <c r="O149" i="18" s="1"/>
  <c r="M20" i="18"/>
  <c r="M18" i="18" s="1"/>
  <c r="P660" i="19"/>
  <c r="M657" i="19"/>
  <c r="M658" i="19"/>
  <c r="P658" i="19" s="1"/>
  <c r="P15" i="19"/>
  <c r="O422" i="13"/>
  <c r="M632" i="15"/>
  <c r="P632" i="15" s="1"/>
  <c r="M688" i="19"/>
  <c r="P688" i="19" s="1"/>
  <c r="P690" i="19"/>
  <c r="M687" i="19"/>
  <c r="L523" i="19"/>
  <c r="O523" i="19" s="1"/>
  <c r="M9" i="19"/>
  <c r="O238" i="19"/>
  <c r="L227" i="19"/>
  <c r="N165" i="19"/>
  <c r="O165" i="19" s="1"/>
  <c r="O167" i="19"/>
  <c r="M24" i="19"/>
  <c r="M16" i="19"/>
  <c r="P26" i="19"/>
  <c r="O12" i="19"/>
  <c r="L9" i="19"/>
  <c r="M547" i="18"/>
  <c r="P547" i="18" s="1"/>
  <c r="M546" i="18"/>
  <c r="P88" i="19"/>
  <c r="P167" i="19"/>
  <c r="K417" i="19"/>
  <c r="L328" i="19"/>
  <c r="O328" i="19" s="1"/>
  <c r="K433" i="19"/>
  <c r="O19" i="19"/>
  <c r="L315" i="19"/>
  <c r="O315" i="19" s="1"/>
  <c r="O317" i="19"/>
  <c r="P90" i="19"/>
  <c r="O44" i="17"/>
  <c r="N53" i="17"/>
  <c r="P53" i="17" s="1"/>
  <c r="O88" i="16"/>
  <c r="M328" i="18"/>
  <c r="P328" i="18" s="1"/>
  <c r="M132" i="17"/>
  <c r="P132" i="17" s="1"/>
  <c r="O469" i="18"/>
  <c r="P66" i="18"/>
  <c r="P277" i="18"/>
  <c r="O26" i="18"/>
  <c r="O88" i="18"/>
  <c r="P279" i="18"/>
  <c r="O330" i="14"/>
  <c r="O43" i="14"/>
  <c r="L655" i="15"/>
  <c r="O655" i="15" s="1"/>
  <c r="L629" i="16"/>
  <c r="O629" i="16" s="1"/>
  <c r="L419" i="17"/>
  <c r="O419" i="17" s="1"/>
  <c r="L88" i="17"/>
  <c r="O88" i="17" s="1"/>
  <c r="P660" i="18"/>
  <c r="L544" i="18"/>
  <c r="O544" i="18" s="1"/>
  <c r="O181" i="14"/>
  <c r="K288" i="16"/>
  <c r="L786" i="17"/>
  <c r="O786" i="17" s="1"/>
  <c r="M402" i="18"/>
  <c r="P402" i="18" s="1"/>
  <c r="L132" i="18"/>
  <c r="O132" i="18" s="1"/>
  <c r="L30" i="18"/>
  <c r="O30" i="18" s="1"/>
  <c r="O33" i="18"/>
  <c r="N53" i="18"/>
  <c r="O53" i="18" s="1"/>
  <c r="O347" i="17"/>
  <c r="M422" i="18"/>
  <c r="P422" i="18" s="1"/>
  <c r="M421" i="18"/>
  <c r="P424" i="18"/>
  <c r="M789" i="18"/>
  <c r="P789" i="18" s="1"/>
  <c r="P791" i="18"/>
  <c r="M788" i="18"/>
  <c r="O263" i="18"/>
  <c r="L261" i="18"/>
  <c r="O261" i="18" s="1"/>
  <c r="P263" i="18"/>
  <c r="L315" i="15"/>
  <c r="O315" i="15" s="1"/>
  <c r="M66" i="15"/>
  <c r="P66" i="15" s="1"/>
  <c r="N24" i="16"/>
  <c r="O24" i="16" s="1"/>
  <c r="M261" i="17"/>
  <c r="P261" i="17" s="1"/>
  <c r="L345" i="17"/>
  <c r="O345" i="17" s="1"/>
  <c r="P183" i="17"/>
  <c r="L30" i="17"/>
  <c r="O30" i="17" s="1"/>
  <c r="O469" i="17"/>
  <c r="L402" i="18"/>
  <c r="O402" i="18" s="1"/>
  <c r="L419" i="18"/>
  <c r="O419" i="18" s="1"/>
  <c r="O36" i="18"/>
  <c r="L34" i="18"/>
  <c r="O34" i="18" s="1"/>
  <c r="O55" i="17"/>
  <c r="P26" i="18"/>
  <c r="P55" i="18"/>
  <c r="M53" i="18"/>
  <c r="L685" i="10"/>
  <c r="O685" i="10" s="1"/>
  <c r="P134" i="15"/>
  <c r="K364" i="16"/>
  <c r="P55" i="16"/>
  <c r="O261" i="16"/>
  <c r="P347" i="17"/>
  <c r="M149" i="17"/>
  <c r="P149" i="17" s="1"/>
  <c r="N24" i="17"/>
  <c r="O181" i="17"/>
  <c r="K434" i="18"/>
  <c r="I418" i="18"/>
  <c r="K418" i="18" s="1"/>
  <c r="P634" i="18"/>
  <c r="M631" i="18"/>
  <c r="M632" i="18"/>
  <c r="P632" i="18" s="1"/>
  <c r="M33" i="18"/>
  <c r="O789" i="18"/>
  <c r="K364" i="18"/>
  <c r="O502" i="18"/>
  <c r="N20" i="18"/>
  <c r="N13" i="18"/>
  <c r="P23" i="18"/>
  <c r="N21" i="18"/>
  <c r="O15" i="18"/>
  <c r="P12" i="18"/>
  <c r="M9" i="18"/>
  <c r="P525" i="18"/>
  <c r="M523" i="18"/>
  <c r="O300" i="13"/>
  <c r="L132" i="15"/>
  <c r="O132" i="15" s="1"/>
  <c r="L119" i="16"/>
  <c r="O119" i="16" s="1"/>
  <c r="O183" i="17"/>
  <c r="M402" i="17"/>
  <c r="P402" i="17" s="1"/>
  <c r="O687" i="18"/>
  <c r="L685" i="18"/>
  <c r="O685" i="18" s="1"/>
  <c r="L345" i="18"/>
  <c r="O345" i="18" s="1"/>
  <c r="O347" i="18"/>
  <c r="K522" i="18"/>
  <c r="P167" i="18"/>
  <c r="N165" i="18"/>
  <c r="P165" i="18" s="1"/>
  <c r="K174" i="18"/>
  <c r="I164" i="18"/>
  <c r="K164" i="18" s="1"/>
  <c r="P183" i="18"/>
  <c r="N181" i="18"/>
  <c r="O181" i="18" s="1"/>
  <c r="O183" i="18"/>
  <c r="O167" i="18"/>
  <c r="K174" i="8"/>
  <c r="K364" i="14"/>
  <c r="M422" i="15"/>
  <c r="P422" i="15" s="1"/>
  <c r="L149" i="15"/>
  <c r="O149" i="15" s="1"/>
  <c r="N66" i="17"/>
  <c r="O66" i="17" s="1"/>
  <c r="M24" i="17"/>
  <c r="O631" i="18"/>
  <c r="L629" i="18"/>
  <c r="O629" i="18" s="1"/>
  <c r="K537" i="18"/>
  <c r="P125" i="18"/>
  <c r="O125" i="18"/>
  <c r="O9" i="18"/>
  <c r="K237" i="18"/>
  <c r="I226" i="18"/>
  <c r="O264" i="17"/>
  <c r="O90" i="9"/>
  <c r="O43" i="12"/>
  <c r="M629" i="15"/>
  <c r="P629" i="15" s="1"/>
  <c r="M389" i="15"/>
  <c r="P389" i="15" s="1"/>
  <c r="P90" i="16"/>
  <c r="O687" i="17"/>
  <c r="O249" i="18"/>
  <c r="L227" i="18"/>
  <c r="O168" i="18"/>
  <c r="O29" i="18"/>
  <c r="P19" i="18"/>
  <c r="K364" i="5"/>
  <c r="O167" i="13"/>
  <c r="N655" i="18"/>
  <c r="O655" i="18" s="1"/>
  <c r="M389" i="18"/>
  <c r="P389" i="18" s="1"/>
  <c r="P391" i="18"/>
  <c r="O121" i="18"/>
  <c r="P121" i="18"/>
  <c r="N119" i="18"/>
  <c r="O119" i="18" s="1"/>
  <c r="O184" i="18"/>
  <c r="P91" i="17"/>
  <c r="O41" i="13"/>
  <c r="M119" i="16"/>
  <c r="P119" i="16" s="1"/>
  <c r="L16" i="16"/>
  <c r="O16" i="16" s="1"/>
  <c r="O26" i="16"/>
  <c r="P56" i="16"/>
  <c r="O88" i="15"/>
  <c r="N165" i="16"/>
  <c r="O165" i="16" s="1"/>
  <c r="K275" i="16"/>
  <c r="M298" i="17"/>
  <c r="P298" i="17" s="1"/>
  <c r="M20" i="17"/>
  <c r="M18" i="17" s="1"/>
  <c r="O317" i="17"/>
  <c r="P68" i="17"/>
  <c r="P298" i="13"/>
  <c r="O181" i="13"/>
  <c r="O330" i="15"/>
  <c r="P16" i="17"/>
  <c r="M470" i="17"/>
  <c r="P470" i="17" s="1"/>
  <c r="M469" i="17"/>
  <c r="P472" i="17"/>
  <c r="P300" i="13"/>
  <c r="L34" i="14"/>
  <c r="O34" i="14" s="1"/>
  <c r="M328" i="15"/>
  <c r="P328" i="15" s="1"/>
  <c r="O328" i="15"/>
  <c r="O167" i="16"/>
  <c r="M345" i="17"/>
  <c r="P345" i="17" s="1"/>
  <c r="P26" i="17"/>
  <c r="L389" i="16"/>
  <c r="O389" i="16" s="1"/>
  <c r="M88" i="17"/>
  <c r="P88" i="17" s="1"/>
  <c r="O631" i="17"/>
  <c r="L629" i="17"/>
  <c r="O629" i="17" s="1"/>
  <c r="O347" i="13"/>
  <c r="O348" i="15"/>
  <c r="L227" i="17"/>
  <c r="M688" i="17"/>
  <c r="P688" i="17" s="1"/>
  <c r="P690" i="17"/>
  <c r="M687" i="17"/>
  <c r="K364" i="11"/>
  <c r="P634" i="15"/>
  <c r="O261" i="13"/>
  <c r="I418" i="16"/>
  <c r="K418" i="16" s="1"/>
  <c r="O687" i="16"/>
  <c r="L328" i="17"/>
  <c r="O328" i="17" s="1"/>
  <c r="O9" i="17"/>
  <c r="O33" i="6"/>
  <c r="M547" i="10"/>
  <c r="P547" i="10" s="1"/>
  <c r="I418" i="17"/>
  <c r="K418" i="17" s="1"/>
  <c r="K434" i="17"/>
  <c r="P167" i="17"/>
  <c r="N165" i="17"/>
  <c r="P165" i="17" s="1"/>
  <c r="O263" i="17"/>
  <c r="L261" i="17"/>
  <c r="O261" i="17" s="1"/>
  <c r="O328" i="6"/>
  <c r="M546" i="10"/>
  <c r="M544" i="10" s="1"/>
  <c r="P544" i="10" s="1"/>
  <c r="P277" i="16"/>
  <c r="P631" i="17"/>
  <c r="M629" i="17"/>
  <c r="P629" i="17" s="1"/>
  <c r="L444" i="17"/>
  <c r="O444" i="17" s="1"/>
  <c r="P449" i="17"/>
  <c r="M447" i="17"/>
  <c r="P447" i="17" s="1"/>
  <c r="M446" i="17"/>
  <c r="I226" i="17"/>
  <c r="K237" i="17"/>
  <c r="P15" i="17"/>
  <c r="M14" i="17"/>
  <c r="P14" i="17" s="1"/>
  <c r="O23" i="17"/>
  <c r="L20" i="17"/>
  <c r="L13" i="17"/>
  <c r="O29" i="17"/>
  <c r="P29" i="17"/>
  <c r="P660" i="17"/>
  <c r="M657" i="17"/>
  <c r="M658" i="17"/>
  <c r="P658" i="17" s="1"/>
  <c r="K543" i="17"/>
  <c r="N20" i="17"/>
  <c r="N18" i="17" s="1"/>
  <c r="N13" i="17"/>
  <c r="N10" i="17" s="1"/>
  <c r="K76" i="17"/>
  <c r="I64" i="17"/>
  <c r="K64" i="17" s="1"/>
  <c r="O167" i="17"/>
  <c r="L165" i="17"/>
  <c r="N21" i="17"/>
  <c r="P21" i="17" s="1"/>
  <c r="L629" i="15"/>
  <c r="O629" i="15" s="1"/>
  <c r="N16" i="15"/>
  <c r="N14" i="15" s="1"/>
  <c r="M421" i="15"/>
  <c r="P421" i="15" s="1"/>
  <c r="O347" i="15"/>
  <c r="M402" i="15"/>
  <c r="P402" i="15" s="1"/>
  <c r="K669" i="17"/>
  <c r="J654" i="17"/>
  <c r="K654" i="17" s="1"/>
  <c r="P279" i="17"/>
  <c r="M277" i="17"/>
  <c r="O300" i="17"/>
  <c r="L298" i="17"/>
  <c r="O298" i="17" s="1"/>
  <c r="K559" i="17"/>
  <c r="O56" i="17"/>
  <c r="O31" i="17"/>
  <c r="P181" i="17"/>
  <c r="K364" i="15"/>
  <c r="M132" i="16"/>
  <c r="P132" i="16" s="1"/>
  <c r="P424" i="17"/>
  <c r="M422" i="17"/>
  <c r="P422" i="17" s="1"/>
  <c r="M421" i="17"/>
  <c r="M33" i="17"/>
  <c r="O525" i="17"/>
  <c r="L523" i="17"/>
  <c r="O523" i="17" s="1"/>
  <c r="J364" i="17"/>
  <c r="K364" i="17" s="1"/>
  <c r="N9" i="17"/>
  <c r="L119" i="17"/>
  <c r="O119" i="17" s="1"/>
  <c r="M9" i="17"/>
  <c r="L21" i="17"/>
  <c r="O26" i="17"/>
  <c r="L16" i="17"/>
  <c r="L24" i="17"/>
  <c r="P23" i="17"/>
  <c r="P151" i="12"/>
  <c r="M53" i="16"/>
  <c r="P53" i="16" s="1"/>
  <c r="P261" i="16"/>
  <c r="P263" i="16"/>
  <c r="O33" i="16"/>
  <c r="L31" i="16"/>
  <c r="O31" i="16" s="1"/>
  <c r="O134" i="16"/>
  <c r="L132" i="16"/>
  <c r="O132" i="16" s="1"/>
  <c r="M298" i="16"/>
  <c r="P298" i="16" s="1"/>
  <c r="O263" i="16"/>
  <c r="L544" i="15"/>
  <c r="O544" i="15" s="1"/>
  <c r="O165" i="15"/>
  <c r="P88" i="15"/>
  <c r="P279" i="16"/>
  <c r="M389" i="16"/>
  <c r="P389" i="16" s="1"/>
  <c r="P391" i="16"/>
  <c r="M470" i="16"/>
  <c r="P470" i="16" s="1"/>
  <c r="M469" i="16"/>
  <c r="L786" i="15"/>
  <c r="O786" i="15" s="1"/>
  <c r="O55" i="15"/>
  <c r="P472" i="16"/>
  <c r="O36" i="16"/>
  <c r="O421" i="15"/>
  <c r="L34" i="15"/>
  <c r="O34" i="15" s="1"/>
  <c r="O261" i="15"/>
  <c r="K417" i="16"/>
  <c r="P88" i="16"/>
  <c r="K433" i="16"/>
  <c r="L30" i="16"/>
  <c r="O30" i="16" s="1"/>
  <c r="M66" i="16"/>
  <c r="P66" i="16" s="1"/>
  <c r="L13" i="16"/>
  <c r="L11" i="16" s="1"/>
  <c r="L20" i="16"/>
  <c r="L18" i="16" s="1"/>
  <c r="O687" i="14"/>
  <c r="P690" i="16"/>
  <c r="M687" i="16"/>
  <c r="M688" i="16"/>
  <c r="P688" i="16" s="1"/>
  <c r="M132" i="14"/>
  <c r="P132" i="14" s="1"/>
  <c r="M277" i="15"/>
  <c r="P277" i="15" s="1"/>
  <c r="M421" i="16"/>
  <c r="M419" i="16" s="1"/>
  <c r="P419" i="16" s="1"/>
  <c r="M422" i="16"/>
  <c r="P422" i="16" s="1"/>
  <c r="L467" i="2"/>
  <c r="O467" i="2" s="1"/>
  <c r="O263" i="2"/>
  <c r="P90" i="11"/>
  <c r="M277" i="13"/>
  <c r="P277" i="13" s="1"/>
  <c r="N414" i="16"/>
  <c r="O419" i="16"/>
  <c r="O181" i="16"/>
  <c r="P181" i="16"/>
  <c r="P330" i="16"/>
  <c r="N328" i="16"/>
  <c r="P328" i="16" s="1"/>
  <c r="P634" i="16"/>
  <c r="M631" i="16"/>
  <c r="M632" i="16"/>
  <c r="P632" i="16" s="1"/>
  <c r="M315" i="16"/>
  <c r="P315" i="16" s="1"/>
  <c r="P184" i="16"/>
  <c r="O184" i="16"/>
  <c r="O55" i="16"/>
  <c r="L53" i="16"/>
  <c r="M149" i="16"/>
  <c r="P149" i="16" s="1"/>
  <c r="O279" i="15"/>
  <c r="L277" i="15"/>
  <c r="O277" i="15" s="1"/>
  <c r="O167" i="14"/>
  <c r="P41" i="13"/>
  <c r="L66" i="15"/>
  <c r="O66" i="15" s="1"/>
  <c r="L655" i="16"/>
  <c r="O655" i="16" s="1"/>
  <c r="O657" i="16"/>
  <c r="L444" i="16"/>
  <c r="O446" i="16"/>
  <c r="P347" i="16"/>
  <c r="N345" i="16"/>
  <c r="P345" i="16" s="1"/>
  <c r="O347" i="16"/>
  <c r="P15" i="16"/>
  <c r="O168" i="16"/>
  <c r="P421" i="13"/>
  <c r="O33" i="13"/>
  <c r="O184" i="14"/>
  <c r="K77" i="14"/>
  <c r="O421" i="16"/>
  <c r="I226" i="16"/>
  <c r="K237" i="16"/>
  <c r="I131" i="16"/>
  <c r="K131" i="16" s="1"/>
  <c r="K143" i="16"/>
  <c r="N20" i="16"/>
  <c r="N13" i="16"/>
  <c r="N21" i="16"/>
  <c r="O21" i="16" s="1"/>
  <c r="O23" i="16"/>
  <c r="L9" i="16"/>
  <c r="O15" i="16"/>
  <c r="M20" i="16"/>
  <c r="P23" i="16"/>
  <c r="M21" i="16"/>
  <c r="O91" i="16"/>
  <c r="M132" i="5"/>
  <c r="P132" i="5" s="1"/>
  <c r="L467" i="14"/>
  <c r="O467" i="14" s="1"/>
  <c r="O300" i="14"/>
  <c r="M547" i="16"/>
  <c r="P547" i="16" s="1"/>
  <c r="M546" i="16"/>
  <c r="P546" i="16" s="1"/>
  <c r="P549" i="16"/>
  <c r="M33" i="16"/>
  <c r="M13" i="16" s="1"/>
  <c r="P545" i="16"/>
  <c r="P348" i="16"/>
  <c r="O348" i="16"/>
  <c r="N9" i="16"/>
  <c r="P9" i="16"/>
  <c r="L402" i="16"/>
  <c r="O402" i="16" s="1"/>
  <c r="M24" i="16"/>
  <c r="M16" i="16"/>
  <c r="P16" i="16" s="1"/>
  <c r="P26" i="16"/>
  <c r="O19" i="16"/>
  <c r="L389" i="14"/>
  <c r="O389" i="14" s="1"/>
  <c r="O688" i="16"/>
  <c r="P183" i="16"/>
  <c r="O183" i="16"/>
  <c r="O317" i="16"/>
  <c r="L315" i="16"/>
  <c r="O315" i="16" s="1"/>
  <c r="P29" i="16"/>
  <c r="K559" i="16"/>
  <c r="I543" i="16"/>
  <c r="K543" i="16" s="1"/>
  <c r="L523" i="16"/>
  <c r="O523" i="16" s="1"/>
  <c r="O525" i="16"/>
  <c r="O279" i="16"/>
  <c r="L277" i="16"/>
  <c r="O277" i="16" s="1"/>
  <c r="O238" i="16"/>
  <c r="L227" i="16"/>
  <c r="M41" i="16"/>
  <c r="O421" i="13"/>
  <c r="M547" i="13"/>
  <c r="P547" i="13" s="1"/>
  <c r="O470" i="14"/>
  <c r="L277" i="14"/>
  <c r="O277" i="14" s="1"/>
  <c r="P263" i="14"/>
  <c r="O90" i="14"/>
  <c r="O43" i="13"/>
  <c r="O469" i="15"/>
  <c r="P184" i="15"/>
  <c r="M149" i="15"/>
  <c r="P149" i="15" s="1"/>
  <c r="O263" i="15"/>
  <c r="M119" i="15"/>
  <c r="P119" i="15" s="1"/>
  <c r="P121" i="15"/>
  <c r="O134" i="12"/>
  <c r="O391" i="12"/>
  <c r="P43" i="13"/>
  <c r="P347" i="14"/>
  <c r="P165" i="15"/>
  <c r="P167" i="15"/>
  <c r="O43" i="15"/>
  <c r="O167" i="15"/>
  <c r="P298" i="15"/>
  <c r="P472" i="14"/>
  <c r="O183" i="14"/>
  <c r="O90" i="15"/>
  <c r="O263" i="13"/>
  <c r="L444" i="15"/>
  <c r="O444" i="15" s="1"/>
  <c r="P549" i="15"/>
  <c r="M546" i="15"/>
  <c r="O43" i="11"/>
  <c r="M389" i="12"/>
  <c r="P389" i="12" s="1"/>
  <c r="P151" i="14"/>
  <c r="M389" i="14"/>
  <c r="P389" i="14" s="1"/>
  <c r="L402" i="15"/>
  <c r="O402" i="15" s="1"/>
  <c r="O404" i="15"/>
  <c r="M470" i="15"/>
  <c r="P470" i="15" s="1"/>
  <c r="M469" i="15"/>
  <c r="L444" i="11"/>
  <c r="O444" i="11" s="1"/>
  <c r="L277" i="12"/>
  <c r="O277" i="12" s="1"/>
  <c r="P121" i="12"/>
  <c r="L30" i="14"/>
  <c r="O30" i="14" s="1"/>
  <c r="L227" i="14"/>
  <c r="P472" i="15"/>
  <c r="O181" i="3"/>
  <c r="L119" i="13"/>
  <c r="O119" i="13" s="1"/>
  <c r="L88" i="14"/>
  <c r="O88" i="14" s="1"/>
  <c r="L13" i="14"/>
  <c r="L11" i="14" s="1"/>
  <c r="M345" i="15"/>
  <c r="P345" i="15" s="1"/>
  <c r="O470" i="15"/>
  <c r="O181" i="15"/>
  <c r="O44" i="15"/>
  <c r="I418" i="12"/>
  <c r="K418" i="12" s="1"/>
  <c r="O183" i="13"/>
  <c r="N261" i="14"/>
  <c r="O261" i="14" s="1"/>
  <c r="L119" i="15"/>
  <c r="O119" i="15" s="1"/>
  <c r="I164" i="15"/>
  <c r="K164" i="15" s="1"/>
  <c r="K174" i="15"/>
  <c r="P261" i="12"/>
  <c r="L53" i="13"/>
  <c r="O53" i="13" s="1"/>
  <c r="L30" i="15"/>
  <c r="L28" i="15" s="1"/>
  <c r="O28" i="15" s="1"/>
  <c r="L31" i="15"/>
  <c r="O31" i="15" s="1"/>
  <c r="L227" i="15"/>
  <c r="O238" i="15"/>
  <c r="L444" i="13"/>
  <c r="O444" i="13" s="1"/>
  <c r="O44" i="14"/>
  <c r="N53" i="14"/>
  <c r="O53" i="14" s="1"/>
  <c r="L31" i="14"/>
  <c r="O31" i="14" s="1"/>
  <c r="L523" i="15"/>
  <c r="O523" i="15" s="1"/>
  <c r="O525" i="15"/>
  <c r="K434" i="15"/>
  <c r="I418" i="15"/>
  <c r="K418" i="15" s="1"/>
  <c r="I65" i="15"/>
  <c r="K65" i="15" s="1"/>
  <c r="K77" i="15"/>
  <c r="O19" i="15"/>
  <c r="M315" i="15"/>
  <c r="P315" i="15" s="1"/>
  <c r="P317" i="15"/>
  <c r="I226" i="15"/>
  <c r="K237" i="15"/>
  <c r="P24" i="15"/>
  <c r="N20" i="15"/>
  <c r="N18" i="15" s="1"/>
  <c r="N13" i="15"/>
  <c r="M446" i="15"/>
  <c r="M447" i="15"/>
  <c r="P447" i="15" s="1"/>
  <c r="M33" i="15"/>
  <c r="M13" i="15" s="1"/>
  <c r="P449" i="15"/>
  <c r="O12" i="15"/>
  <c r="L9" i="15"/>
  <c r="O26" i="15"/>
  <c r="L16" i="15"/>
  <c r="L24" i="15"/>
  <c r="O24" i="15" s="1"/>
  <c r="P15" i="15"/>
  <c r="O419" i="15"/>
  <c r="I64" i="15"/>
  <c r="K64" i="15" s="1"/>
  <c r="K76" i="15"/>
  <c r="L629" i="12"/>
  <c r="O629" i="12" s="1"/>
  <c r="M16" i="13"/>
  <c r="P16" i="13" s="1"/>
  <c r="I180" i="14"/>
  <c r="K180" i="14" s="1"/>
  <c r="I64" i="14"/>
  <c r="K64" i="14" s="1"/>
  <c r="O467" i="15"/>
  <c r="O41" i="15"/>
  <c r="O23" i="15"/>
  <c r="L20" i="15"/>
  <c r="L13" i="15"/>
  <c r="L11" i="15" s="1"/>
  <c r="N37" i="15"/>
  <c r="P29" i="15"/>
  <c r="M261" i="15"/>
  <c r="P261" i="15" s="1"/>
  <c r="P263" i="15"/>
  <c r="P183" i="15"/>
  <c r="M9" i="15"/>
  <c r="M315" i="8"/>
  <c r="P315" i="8" s="1"/>
  <c r="M119" i="10"/>
  <c r="P119" i="10" s="1"/>
  <c r="P66" i="13"/>
  <c r="L685" i="15"/>
  <c r="O685" i="15" s="1"/>
  <c r="L53" i="15"/>
  <c r="O53" i="15" s="1"/>
  <c r="I131" i="15"/>
  <c r="K131" i="15" s="1"/>
  <c r="K143" i="15"/>
  <c r="M53" i="15"/>
  <c r="P53" i="15" s="1"/>
  <c r="P55" i="15"/>
  <c r="P23" i="15"/>
  <c r="M20" i="15"/>
  <c r="M21" i="15"/>
  <c r="P21" i="15" s="1"/>
  <c r="P264" i="11"/>
  <c r="P88" i="13"/>
  <c r="L629" i="14"/>
  <c r="O629" i="14" s="1"/>
  <c r="J417" i="15"/>
  <c r="K417" i="15" s="1"/>
  <c r="K433" i="15"/>
  <c r="P90" i="15"/>
  <c r="P181" i="15"/>
  <c r="O21" i="15"/>
  <c r="O183" i="15"/>
  <c r="N9" i="15"/>
  <c r="P43" i="15"/>
  <c r="M41" i="15"/>
  <c r="P26" i="15"/>
  <c r="M16" i="15"/>
  <c r="I65" i="10"/>
  <c r="K65" i="10" s="1"/>
  <c r="L402" i="11"/>
  <c r="O402" i="11" s="1"/>
  <c r="L419" i="12"/>
  <c r="O419" i="12" s="1"/>
  <c r="O151" i="13"/>
  <c r="M470" i="14"/>
  <c r="P470" i="14" s="1"/>
  <c r="P56" i="14"/>
  <c r="L41" i="14"/>
  <c r="O41" i="14" s="1"/>
  <c r="O55" i="14"/>
  <c r="P351" i="13"/>
  <c r="P55" i="11"/>
  <c r="M119" i="13"/>
  <c r="P119" i="13" s="1"/>
  <c r="L277" i="13"/>
  <c r="O277" i="13" s="1"/>
  <c r="K417" i="14"/>
  <c r="P317" i="14"/>
  <c r="O421" i="14"/>
  <c r="P41" i="14"/>
  <c r="L444" i="10"/>
  <c r="O444" i="10" s="1"/>
  <c r="L66" i="12"/>
  <c r="O66" i="12" s="1"/>
  <c r="L298" i="13"/>
  <c r="O298" i="13" s="1"/>
  <c r="M119" i="14"/>
  <c r="P119" i="14" s="1"/>
  <c r="P43" i="14"/>
  <c r="P68" i="14"/>
  <c r="M66" i="14"/>
  <c r="P66" i="14" s="1"/>
  <c r="O33" i="11"/>
  <c r="P472" i="12"/>
  <c r="M467" i="12"/>
  <c r="P467" i="12" s="1"/>
  <c r="L402" i="13"/>
  <c r="O402" i="13" s="1"/>
  <c r="M470" i="12"/>
  <c r="P470" i="12" s="1"/>
  <c r="P68" i="13"/>
  <c r="P168" i="13"/>
  <c r="P59" i="14"/>
  <c r="O66" i="13"/>
  <c r="L523" i="14"/>
  <c r="O523" i="14" s="1"/>
  <c r="O525" i="14"/>
  <c r="O168" i="12"/>
  <c r="N24" i="14"/>
  <c r="P26" i="13"/>
  <c r="P467" i="14"/>
  <c r="O347" i="14"/>
  <c r="N345" i="14"/>
  <c r="O345" i="14" s="1"/>
  <c r="O263" i="14"/>
  <c r="O12" i="14"/>
  <c r="L9" i="14"/>
  <c r="P90" i="13"/>
  <c r="L315" i="14"/>
  <c r="O315" i="14" s="1"/>
  <c r="L66" i="14"/>
  <c r="O66" i="14" s="1"/>
  <c r="O23" i="14"/>
  <c r="L544" i="9"/>
  <c r="O544" i="9" s="1"/>
  <c r="I418" i="14"/>
  <c r="K418" i="14" s="1"/>
  <c r="K434" i="14"/>
  <c r="P545" i="14"/>
  <c r="P549" i="14"/>
  <c r="M546" i="14"/>
  <c r="P546" i="14" s="1"/>
  <c r="M547" i="14"/>
  <c r="P547" i="14" s="1"/>
  <c r="M33" i="14"/>
  <c r="M88" i="14"/>
  <c r="P88" i="14" s="1"/>
  <c r="P90" i="14"/>
  <c r="O19" i="14"/>
  <c r="O446" i="14"/>
  <c r="L444" i="14"/>
  <c r="L149" i="14"/>
  <c r="O151" i="14"/>
  <c r="N149" i="14"/>
  <c r="M24" i="14"/>
  <c r="M16" i="14"/>
  <c r="P26" i="14"/>
  <c r="M687" i="14"/>
  <c r="M688" i="14"/>
  <c r="P688" i="14" s="1"/>
  <c r="P690" i="14"/>
  <c r="P19" i="14"/>
  <c r="M402" i="14"/>
  <c r="P402" i="14" s="1"/>
  <c r="M165" i="14"/>
  <c r="P165" i="14" s="1"/>
  <c r="P167" i="14"/>
  <c r="O657" i="14"/>
  <c r="L655" i="14"/>
  <c r="O655" i="14" s="1"/>
  <c r="L24" i="14"/>
  <c r="O26" i="14"/>
  <c r="L16" i="14"/>
  <c r="M20" i="14"/>
  <c r="M18" i="14" s="1"/>
  <c r="K434" i="13"/>
  <c r="I418" i="13"/>
  <c r="K418" i="13" s="1"/>
  <c r="O68" i="13"/>
  <c r="K559" i="14"/>
  <c r="I543" i="14"/>
  <c r="K543" i="14" s="1"/>
  <c r="K433" i="14"/>
  <c r="L165" i="14"/>
  <c r="O165" i="14" s="1"/>
  <c r="P12" i="14"/>
  <c r="M9" i="14"/>
  <c r="P660" i="14"/>
  <c r="M657" i="14"/>
  <c r="M658" i="14"/>
  <c r="P658" i="14" s="1"/>
  <c r="L119" i="14"/>
  <c r="O119" i="14" s="1"/>
  <c r="O121" i="14"/>
  <c r="P21" i="14"/>
  <c r="P23" i="14"/>
  <c r="M345" i="14"/>
  <c r="P183" i="14"/>
  <c r="M181" i="14"/>
  <c r="P181" i="14" s="1"/>
  <c r="M277" i="14"/>
  <c r="P277" i="14" s="1"/>
  <c r="P279" i="14"/>
  <c r="L132" i="14"/>
  <c r="O132" i="14" s="1"/>
  <c r="O134" i="14"/>
  <c r="M328" i="14"/>
  <c r="P328" i="14" s="1"/>
  <c r="N20" i="14"/>
  <c r="N18" i="14" s="1"/>
  <c r="N13" i="14"/>
  <c r="N10" i="14" s="1"/>
  <c r="O21" i="14"/>
  <c r="M419" i="14"/>
  <c r="L20" i="14"/>
  <c r="L18" i="14" s="1"/>
  <c r="L402" i="14"/>
  <c r="O402" i="14" s="1"/>
  <c r="O404" i="14"/>
  <c r="N9" i="14"/>
  <c r="L467" i="12"/>
  <c r="O467" i="12" s="1"/>
  <c r="P55" i="12"/>
  <c r="O26" i="13"/>
  <c r="M132" i="13"/>
  <c r="P132" i="13" s="1"/>
  <c r="P549" i="13"/>
  <c r="N24" i="13"/>
  <c r="O24" i="13" s="1"/>
  <c r="O168" i="13"/>
  <c r="P90" i="8"/>
  <c r="M165" i="10"/>
  <c r="P165" i="10" s="1"/>
  <c r="P88" i="12"/>
  <c r="P264" i="13"/>
  <c r="O88" i="12"/>
  <c r="P90" i="12"/>
  <c r="P151" i="13"/>
  <c r="I226" i="11"/>
  <c r="I180" i="11" s="1"/>
  <c r="K180" i="11" s="1"/>
  <c r="L30" i="12"/>
  <c r="O30" i="12" s="1"/>
  <c r="P43" i="11"/>
  <c r="L544" i="13"/>
  <c r="O544" i="13" s="1"/>
  <c r="N149" i="13"/>
  <c r="O149" i="13" s="1"/>
  <c r="L165" i="13"/>
  <c r="O165" i="13" s="1"/>
  <c r="L30" i="13"/>
  <c r="L28" i="13" s="1"/>
  <c r="O28" i="13" s="1"/>
  <c r="O687" i="13"/>
  <c r="P347" i="13"/>
  <c r="O138" i="12"/>
  <c r="K174" i="13"/>
  <c r="I164" i="13"/>
  <c r="K164" i="13" s="1"/>
  <c r="P690" i="13"/>
  <c r="M688" i="13"/>
  <c r="P688" i="13" s="1"/>
  <c r="M687" i="13"/>
  <c r="O134" i="13"/>
  <c r="L132" i="13"/>
  <c r="O132" i="13" s="1"/>
  <c r="O261" i="11"/>
  <c r="O21" i="12"/>
  <c r="N13" i="12"/>
  <c r="N11" i="12" s="1"/>
  <c r="I64" i="12"/>
  <c r="K64" i="12" s="1"/>
  <c r="O56" i="13"/>
  <c r="L467" i="9"/>
  <c r="O467" i="9" s="1"/>
  <c r="L523" i="10"/>
  <c r="O523" i="10" s="1"/>
  <c r="I543" i="10"/>
  <c r="K543" i="10" s="1"/>
  <c r="M41" i="11"/>
  <c r="P41" i="11" s="1"/>
  <c r="M389" i="13"/>
  <c r="P389" i="13" s="1"/>
  <c r="M53" i="13"/>
  <c r="P53" i="13" s="1"/>
  <c r="P55" i="13"/>
  <c r="L389" i="13"/>
  <c r="O389" i="13" s="1"/>
  <c r="O391" i="13"/>
  <c r="L34" i="13"/>
  <c r="O34" i="13" s="1"/>
  <c r="O36" i="13"/>
  <c r="P167" i="13"/>
  <c r="M165" i="13"/>
  <c r="P165" i="13" s="1"/>
  <c r="O469" i="11"/>
  <c r="L31" i="12"/>
  <c r="O31" i="12" s="1"/>
  <c r="L227" i="12"/>
  <c r="N345" i="13"/>
  <c r="P345" i="13" s="1"/>
  <c r="O90" i="13"/>
  <c r="L88" i="13"/>
  <c r="O88" i="13" s="1"/>
  <c r="O317" i="13"/>
  <c r="L315" i="13"/>
  <c r="O315" i="13" s="1"/>
  <c r="L467" i="13"/>
  <c r="O467" i="13" s="1"/>
  <c r="O469" i="13"/>
  <c r="L629" i="11"/>
  <c r="O629" i="11" s="1"/>
  <c r="L119" i="11"/>
  <c r="O119" i="11" s="1"/>
  <c r="P261" i="11"/>
  <c r="P44" i="11"/>
  <c r="L132" i="12"/>
  <c r="O132" i="12" s="1"/>
  <c r="L16" i="13"/>
  <c r="L14" i="13" s="1"/>
  <c r="O14" i="13" s="1"/>
  <c r="M315" i="13"/>
  <c r="P315" i="13" s="1"/>
  <c r="P263" i="13"/>
  <c r="M261" i="13"/>
  <c r="P261" i="13" s="1"/>
  <c r="P183" i="13"/>
  <c r="M181" i="13"/>
  <c r="P181" i="13" s="1"/>
  <c r="L21" i="13"/>
  <c r="L13" i="13"/>
  <c r="L11" i="13" s="1"/>
  <c r="L20" i="13"/>
  <c r="L18" i="13" s="1"/>
  <c r="P21" i="12"/>
  <c r="O238" i="12"/>
  <c r="O90" i="12"/>
  <c r="O687" i="12"/>
  <c r="P660" i="13"/>
  <c r="M658" i="13"/>
  <c r="P658" i="13" s="1"/>
  <c r="M657" i="13"/>
  <c r="M33" i="13"/>
  <c r="I64" i="13"/>
  <c r="K64" i="13" s="1"/>
  <c r="K76" i="13"/>
  <c r="O330" i="13"/>
  <c r="N328" i="13"/>
  <c r="P330" i="13"/>
  <c r="O55" i="12"/>
  <c r="I543" i="13"/>
  <c r="K543" i="13" s="1"/>
  <c r="K559" i="13"/>
  <c r="I65" i="13"/>
  <c r="K65" i="13" s="1"/>
  <c r="K77" i="13"/>
  <c r="K433" i="13"/>
  <c r="I417" i="13"/>
  <c r="K417" i="13" s="1"/>
  <c r="M544" i="13"/>
  <c r="P544" i="13" s="1"/>
  <c r="P545" i="13"/>
  <c r="L523" i="13"/>
  <c r="O523" i="13" s="1"/>
  <c r="O525" i="13"/>
  <c r="O19" i="13"/>
  <c r="P404" i="13"/>
  <c r="M402" i="13"/>
  <c r="P402" i="13" s="1"/>
  <c r="N20" i="13"/>
  <c r="N18" i="13" s="1"/>
  <c r="N13" i="13"/>
  <c r="N11" i="13" s="1"/>
  <c r="O23" i="13"/>
  <c r="K669" i="13"/>
  <c r="J654" i="13"/>
  <c r="K654" i="13" s="1"/>
  <c r="I226" i="13"/>
  <c r="K237" i="13"/>
  <c r="N21" i="13"/>
  <c r="M119" i="11"/>
  <c r="P119" i="11" s="1"/>
  <c r="O55" i="11"/>
  <c r="P348" i="13"/>
  <c r="P422" i="13"/>
  <c r="L227" i="13"/>
  <c r="O238" i="13"/>
  <c r="P331" i="13"/>
  <c r="P23" i="13"/>
  <c r="M20" i="13"/>
  <c r="M21" i="13"/>
  <c r="N419" i="13"/>
  <c r="N414" i="13" s="1"/>
  <c r="N9" i="13"/>
  <c r="M629" i="11"/>
  <c r="P629" i="11" s="1"/>
  <c r="O345" i="11"/>
  <c r="P165" i="12"/>
  <c r="K174" i="11"/>
  <c r="O348" i="11"/>
  <c r="L315" i="12"/>
  <c r="O315" i="12" s="1"/>
  <c r="M66" i="11"/>
  <c r="P66" i="11" s="1"/>
  <c r="L34" i="12"/>
  <c r="O34" i="12" s="1"/>
  <c r="N53" i="12"/>
  <c r="O53" i="12" s="1"/>
  <c r="O446" i="12"/>
  <c r="L444" i="12"/>
  <c r="O444" i="12" s="1"/>
  <c r="K143" i="12"/>
  <c r="I131" i="12"/>
  <c r="K131" i="12" s="1"/>
  <c r="L786" i="12"/>
  <c r="O786" i="12" s="1"/>
  <c r="P26" i="12"/>
  <c r="M24" i="12"/>
  <c r="P449" i="12"/>
  <c r="M446" i="12"/>
  <c r="N41" i="12"/>
  <c r="O41" i="12" s="1"/>
  <c r="O183" i="12"/>
  <c r="P261" i="10"/>
  <c r="L315" i="10"/>
  <c r="O315" i="10" s="1"/>
  <c r="O347" i="11"/>
  <c r="M315" i="10"/>
  <c r="P315" i="10" s="1"/>
  <c r="O525" i="12"/>
  <c r="L523" i="12"/>
  <c r="O523" i="12" s="1"/>
  <c r="I64" i="7"/>
  <c r="K64" i="7" s="1"/>
  <c r="K76" i="11"/>
  <c r="K433" i="12"/>
  <c r="P263" i="12"/>
  <c r="M419" i="10"/>
  <c r="P419" i="10" s="1"/>
  <c r="M687" i="12"/>
  <c r="M688" i="12"/>
  <c r="P688" i="12" s="1"/>
  <c r="P690" i="12"/>
  <c r="P549" i="12"/>
  <c r="M546" i="12"/>
  <c r="P546" i="12" s="1"/>
  <c r="M547" i="12"/>
  <c r="P547" i="12" s="1"/>
  <c r="L149" i="12"/>
  <c r="O149" i="12" s="1"/>
  <c r="O151" i="12"/>
  <c r="L9" i="12"/>
  <c r="O12" i="12"/>
  <c r="P660" i="12"/>
  <c r="M657" i="12"/>
  <c r="M658" i="12"/>
  <c r="P658" i="12" s="1"/>
  <c r="P330" i="12"/>
  <c r="N328" i="12"/>
  <c r="P328" i="12" s="1"/>
  <c r="N9" i="12"/>
  <c r="O167" i="12"/>
  <c r="L165" i="12"/>
  <c r="O165" i="12" s="1"/>
  <c r="P279" i="12"/>
  <c r="M277" i="12"/>
  <c r="P277" i="12" s="1"/>
  <c r="O300" i="12"/>
  <c r="L298" i="12"/>
  <c r="O298" i="12" s="1"/>
  <c r="K559" i="12"/>
  <c r="I543" i="12"/>
  <c r="K543" i="12" s="1"/>
  <c r="P68" i="12"/>
  <c r="M66" i="12"/>
  <c r="P66" i="12" s="1"/>
  <c r="K174" i="12"/>
  <c r="I164" i="12"/>
  <c r="K164" i="12" s="1"/>
  <c r="P183" i="12"/>
  <c r="N181" i="12"/>
  <c r="O181" i="12" s="1"/>
  <c r="P43" i="12"/>
  <c r="K77" i="12"/>
  <c r="I65" i="12"/>
  <c r="K65" i="12" s="1"/>
  <c r="P279" i="5"/>
  <c r="O55" i="5"/>
  <c r="M149" i="8"/>
  <c r="P149" i="8" s="1"/>
  <c r="P53" i="9"/>
  <c r="M132" i="10"/>
  <c r="P132" i="10" s="1"/>
  <c r="O391" i="11"/>
  <c r="L66" i="11"/>
  <c r="O66" i="11" s="1"/>
  <c r="L277" i="11"/>
  <c r="O277" i="11" s="1"/>
  <c r="L34" i="11"/>
  <c r="O34" i="11" s="1"/>
  <c r="L655" i="11"/>
  <c r="O655" i="11" s="1"/>
  <c r="K237" i="12"/>
  <c r="I226" i="12"/>
  <c r="M421" i="12"/>
  <c r="M422" i="12"/>
  <c r="P422" i="12" s="1"/>
  <c r="P424" i="12"/>
  <c r="M33" i="12"/>
  <c r="M13" i="12" s="1"/>
  <c r="P298" i="12"/>
  <c r="P134" i="12"/>
  <c r="M132" i="12"/>
  <c r="P132" i="12" s="1"/>
  <c r="L20" i="12"/>
  <c r="O23" i="12"/>
  <c r="L13" i="12"/>
  <c r="L11" i="12" s="1"/>
  <c r="P301" i="12"/>
  <c r="P167" i="12"/>
  <c r="L345" i="12"/>
  <c r="O347" i="12"/>
  <c r="N345" i="12"/>
  <c r="P345" i="12" s="1"/>
  <c r="P181" i="5"/>
  <c r="M66" i="9"/>
  <c r="P66" i="9" s="1"/>
  <c r="O53" i="9"/>
  <c r="M402" i="10"/>
  <c r="P402" i="10" s="1"/>
  <c r="P328" i="11"/>
  <c r="P545" i="12"/>
  <c r="M402" i="12"/>
  <c r="P402" i="12" s="1"/>
  <c r="L119" i="12"/>
  <c r="O119" i="12" s="1"/>
  <c r="O121" i="12"/>
  <c r="M20" i="12"/>
  <c r="M18" i="12" s="1"/>
  <c r="P23" i="12"/>
  <c r="O404" i="12"/>
  <c r="L402" i="12"/>
  <c r="O402" i="12" s="1"/>
  <c r="O330" i="12"/>
  <c r="O29" i="12"/>
  <c r="O26" i="12"/>
  <c r="L16" i="12"/>
  <c r="O657" i="12"/>
  <c r="L655" i="12"/>
  <c r="O655" i="12" s="1"/>
  <c r="P9" i="12"/>
  <c r="P315" i="5"/>
  <c r="O184" i="5"/>
  <c r="P55" i="5"/>
  <c r="O183" i="9"/>
  <c r="L30" i="11"/>
  <c r="L28" i="11" s="1"/>
  <c r="P330" i="11"/>
  <c r="M315" i="12"/>
  <c r="P315" i="12" s="1"/>
  <c r="O263" i="12"/>
  <c r="L261" i="12"/>
  <c r="O261" i="12" s="1"/>
  <c r="O15" i="12"/>
  <c r="P19" i="12"/>
  <c r="P300" i="12"/>
  <c r="N20" i="12"/>
  <c r="N18" i="12" s="1"/>
  <c r="N16" i="12"/>
  <c r="N24" i="12"/>
  <c r="O24" i="12" s="1"/>
  <c r="N149" i="12"/>
  <c r="M149" i="10"/>
  <c r="P149" i="10" s="1"/>
  <c r="P279" i="10"/>
  <c r="L786" i="11"/>
  <c r="O786" i="11" s="1"/>
  <c r="O263" i="11"/>
  <c r="O317" i="11"/>
  <c r="L315" i="11"/>
  <c r="O315" i="11" s="1"/>
  <c r="P263" i="11"/>
  <c r="P43" i="10"/>
  <c r="O347" i="7"/>
  <c r="L402" i="9"/>
  <c r="O402" i="9" s="1"/>
  <c r="P88" i="9"/>
  <c r="P330" i="10"/>
  <c r="L389" i="10"/>
  <c r="O389" i="10" s="1"/>
  <c r="P149" i="11"/>
  <c r="M21" i="11"/>
  <c r="M547" i="11"/>
  <c r="P547" i="11" s="1"/>
  <c r="M546" i="11"/>
  <c r="P549" i="11"/>
  <c r="M24" i="11"/>
  <c r="M16" i="11"/>
  <c r="M14" i="11" s="1"/>
  <c r="P345" i="11"/>
  <c r="O91" i="11"/>
  <c r="P347" i="11"/>
  <c r="O44" i="11"/>
  <c r="I164" i="7"/>
  <c r="K164" i="7" s="1"/>
  <c r="P88" i="8"/>
  <c r="K433" i="10"/>
  <c r="L277" i="10"/>
  <c r="O277" i="10" s="1"/>
  <c r="O90" i="10"/>
  <c r="M277" i="11"/>
  <c r="P277" i="11" s="1"/>
  <c r="K417" i="10"/>
  <c r="O134" i="11"/>
  <c r="L132" i="11"/>
  <c r="O132" i="11" s="1"/>
  <c r="M165" i="11"/>
  <c r="P165" i="11" s="1"/>
  <c r="P167" i="11"/>
  <c r="L165" i="11"/>
  <c r="O165" i="11" s="1"/>
  <c r="O167" i="11"/>
  <c r="P391" i="11"/>
  <c r="M389" i="11"/>
  <c r="P389" i="11" s="1"/>
  <c r="P183" i="11"/>
  <c r="M181" i="11"/>
  <c r="P181" i="11" s="1"/>
  <c r="M16" i="9"/>
  <c r="M14" i="9" s="1"/>
  <c r="M24" i="10"/>
  <c r="M20" i="10"/>
  <c r="M18" i="10" s="1"/>
  <c r="P634" i="11"/>
  <c r="L298" i="11"/>
  <c r="O298" i="11" s="1"/>
  <c r="L544" i="11"/>
  <c r="O544" i="11" s="1"/>
  <c r="K433" i="11"/>
  <c r="J417" i="11"/>
  <c r="K417" i="11" s="1"/>
  <c r="O181" i="5"/>
  <c r="O183" i="7"/>
  <c r="N21" i="10"/>
  <c r="O546" i="10"/>
  <c r="M632" i="11"/>
  <c r="P632" i="11" s="1"/>
  <c r="P56" i="11"/>
  <c r="N414" i="11"/>
  <c r="N9" i="11"/>
  <c r="M402" i="11"/>
  <c r="P402" i="11" s="1"/>
  <c r="P404" i="11"/>
  <c r="N20" i="11"/>
  <c r="N18" i="11" s="1"/>
  <c r="N13" i="11"/>
  <c r="N11" i="11" s="1"/>
  <c r="O331" i="11"/>
  <c r="O53" i="11"/>
  <c r="O90" i="8"/>
  <c r="K434" i="11"/>
  <c r="I418" i="11"/>
  <c r="K418" i="11" s="1"/>
  <c r="M315" i="11"/>
  <c r="P315" i="11" s="1"/>
  <c r="O467" i="11"/>
  <c r="K77" i="11"/>
  <c r="I65" i="11"/>
  <c r="K65" i="11" s="1"/>
  <c r="O422" i="11"/>
  <c r="P15" i="11"/>
  <c r="O330" i="11"/>
  <c r="L328" i="11"/>
  <c r="O328" i="11" s="1"/>
  <c r="O29" i="11"/>
  <c r="P151" i="11"/>
  <c r="M18" i="11"/>
  <c r="L523" i="11"/>
  <c r="O523" i="11" s="1"/>
  <c r="P9" i="11"/>
  <c r="O238" i="11"/>
  <c r="L227" i="11"/>
  <c r="N16" i="11"/>
  <c r="P26" i="11"/>
  <c r="N24" i="11"/>
  <c r="P23" i="11"/>
  <c r="K593" i="11"/>
  <c r="P53" i="11"/>
  <c r="J543" i="11"/>
  <c r="K543" i="11" s="1"/>
  <c r="K559" i="11"/>
  <c r="O41" i="11"/>
  <c r="L419" i="11"/>
  <c r="O421" i="11"/>
  <c r="P300" i="11"/>
  <c r="M298" i="11"/>
  <c r="P298" i="11" s="1"/>
  <c r="O26" i="11"/>
  <c r="L16" i="11"/>
  <c r="L14" i="11" s="1"/>
  <c r="K592" i="11"/>
  <c r="P90" i="9"/>
  <c r="P331" i="10"/>
  <c r="M469" i="11"/>
  <c r="P472" i="11"/>
  <c r="M470" i="11"/>
  <c r="P470" i="11" s="1"/>
  <c r="O547" i="11"/>
  <c r="L685" i="11"/>
  <c r="O685" i="11" s="1"/>
  <c r="N21" i="11"/>
  <c r="O21" i="11" s="1"/>
  <c r="P424" i="11"/>
  <c r="M421" i="11"/>
  <c r="M422" i="11"/>
  <c r="P422" i="11" s="1"/>
  <c r="M33" i="11"/>
  <c r="L9" i="11"/>
  <c r="O12" i="11"/>
  <c r="O151" i="11"/>
  <c r="N88" i="11"/>
  <c r="P88" i="11" s="1"/>
  <c r="N30" i="11"/>
  <c r="N28" i="11" s="1"/>
  <c r="N31" i="11"/>
  <c r="O31" i="11" s="1"/>
  <c r="L181" i="11"/>
  <c r="O181" i="11" s="1"/>
  <c r="O183" i="11"/>
  <c r="P277" i="8"/>
  <c r="P29" i="11"/>
  <c r="L149" i="11"/>
  <c r="O149" i="11" s="1"/>
  <c r="O90" i="11"/>
  <c r="O19" i="11"/>
  <c r="O15" i="11"/>
  <c r="O23" i="11"/>
  <c r="L20" i="11"/>
  <c r="L13" i="11"/>
  <c r="L11" i="11" s="1"/>
  <c r="M132" i="11"/>
  <c r="P132" i="11" s="1"/>
  <c r="P348" i="8"/>
  <c r="P263" i="9"/>
  <c r="O43" i="9"/>
  <c r="M21" i="10"/>
  <c r="N41" i="10"/>
  <c r="O41" i="10" s="1"/>
  <c r="L227" i="10"/>
  <c r="O55" i="9"/>
  <c r="I180" i="10"/>
  <c r="K180" i="10" s="1"/>
  <c r="L786" i="10"/>
  <c r="O786" i="10" s="1"/>
  <c r="M66" i="10"/>
  <c r="P66" i="10" s="1"/>
  <c r="P263" i="10"/>
  <c r="M687" i="10"/>
  <c r="M688" i="10"/>
  <c r="P688" i="10" s="1"/>
  <c r="P690" i="10"/>
  <c r="L88" i="10"/>
  <c r="O88" i="10" s="1"/>
  <c r="O345" i="4"/>
  <c r="O347" i="6"/>
  <c r="M315" i="9"/>
  <c r="P315" i="9" s="1"/>
  <c r="P345" i="8"/>
  <c r="L629" i="9"/>
  <c r="O629" i="9" s="1"/>
  <c r="P549" i="9"/>
  <c r="K434" i="10"/>
  <c r="P23" i="10"/>
  <c r="P55" i="10"/>
  <c r="P183" i="10"/>
  <c r="M181" i="10"/>
  <c r="P181" i="10" s="1"/>
  <c r="O184" i="9"/>
  <c r="I131" i="10"/>
  <c r="K131" i="10" s="1"/>
  <c r="K143" i="10"/>
  <c r="P55" i="9"/>
  <c r="O300" i="10"/>
  <c r="L298" i="10"/>
  <c r="O298" i="10" s="1"/>
  <c r="L165" i="5"/>
  <c r="O165" i="5" s="1"/>
  <c r="L119" i="6"/>
  <c r="O119" i="6" s="1"/>
  <c r="O331" i="6"/>
  <c r="I543" i="7"/>
  <c r="K543" i="7" s="1"/>
  <c r="L315" i="8"/>
  <c r="O315" i="8" s="1"/>
  <c r="L181" i="9"/>
  <c r="O181" i="9" s="1"/>
  <c r="M149" i="9"/>
  <c r="P149" i="9" s="1"/>
  <c r="M389" i="10"/>
  <c r="P389" i="10" s="1"/>
  <c r="O264" i="10"/>
  <c r="O168" i="10"/>
  <c r="O657" i="10"/>
  <c r="L655" i="10"/>
  <c r="O655" i="10" s="1"/>
  <c r="O36" i="10"/>
  <c r="L34" i="10"/>
  <c r="O34" i="10" s="1"/>
  <c r="I164" i="10"/>
  <c r="K164" i="10" s="1"/>
  <c r="K174" i="10"/>
  <c r="O151" i="10"/>
  <c r="L149" i="10"/>
  <c r="O149" i="10" s="1"/>
  <c r="N24" i="10"/>
  <c r="N16" i="10"/>
  <c r="N14" i="10" s="1"/>
  <c r="N11" i="10"/>
  <c r="M547" i="9"/>
  <c r="P547" i="9" s="1"/>
  <c r="M132" i="9"/>
  <c r="P132" i="9" s="1"/>
  <c r="P300" i="9"/>
  <c r="M389" i="9"/>
  <c r="P389" i="9" s="1"/>
  <c r="L467" i="10"/>
  <c r="O467" i="10" s="1"/>
  <c r="N328" i="10"/>
  <c r="P328" i="10" s="1"/>
  <c r="P351" i="10"/>
  <c r="O330" i="10"/>
  <c r="P347" i="10"/>
  <c r="M345" i="10"/>
  <c r="P19" i="10"/>
  <c r="K76" i="10"/>
  <c r="I64" i="10"/>
  <c r="K64" i="10" s="1"/>
  <c r="O33" i="10"/>
  <c r="L30" i="10"/>
  <c r="P53" i="10"/>
  <c r="O134" i="10"/>
  <c r="L132" i="10"/>
  <c r="O132" i="10" s="1"/>
  <c r="N20" i="10"/>
  <c r="N18" i="10" s="1"/>
  <c r="L227" i="8"/>
  <c r="L629" i="10"/>
  <c r="O629" i="10" s="1"/>
  <c r="O331" i="10"/>
  <c r="O421" i="10"/>
  <c r="L419" i="10"/>
  <c r="O68" i="10"/>
  <c r="L66" i="10"/>
  <c r="O66" i="10" s="1"/>
  <c r="O121" i="10"/>
  <c r="L119" i="10"/>
  <c r="O119" i="10" s="1"/>
  <c r="O26" i="10"/>
  <c r="L16" i="10"/>
  <c r="L24" i="10"/>
  <c r="P12" i="10"/>
  <c r="M9" i="10"/>
  <c r="O43" i="10"/>
  <c r="L298" i="7"/>
  <c r="O298" i="7" s="1"/>
  <c r="L402" i="8"/>
  <c r="O402" i="8" s="1"/>
  <c r="P184" i="8"/>
  <c r="P264" i="9"/>
  <c r="O404" i="10"/>
  <c r="L402" i="10"/>
  <c r="O402" i="10" s="1"/>
  <c r="O183" i="10"/>
  <c r="L181" i="10"/>
  <c r="O181" i="10" s="1"/>
  <c r="O23" i="10"/>
  <c r="L20" i="10"/>
  <c r="L13" i="10"/>
  <c r="L21" i="10"/>
  <c r="O55" i="10"/>
  <c r="L53" i="10"/>
  <c r="O53" i="10" s="1"/>
  <c r="P26" i="10"/>
  <c r="L419" i="6"/>
  <c r="O419" i="6" s="1"/>
  <c r="N41" i="9"/>
  <c r="N37" i="9" s="1"/>
  <c r="O44" i="10"/>
  <c r="P44" i="10"/>
  <c r="O184" i="10"/>
  <c r="P449" i="10"/>
  <c r="M446" i="10"/>
  <c r="M447" i="10"/>
  <c r="P447" i="10" s="1"/>
  <c r="M33" i="10"/>
  <c r="O347" i="10"/>
  <c r="N345" i="10"/>
  <c r="O345" i="10" s="1"/>
  <c r="L786" i="7"/>
  <c r="O786" i="7" s="1"/>
  <c r="M149" i="7"/>
  <c r="P149" i="7" s="1"/>
  <c r="M389" i="8"/>
  <c r="P389" i="8" s="1"/>
  <c r="O345" i="8"/>
  <c r="O68" i="8"/>
  <c r="L315" i="9"/>
  <c r="O315" i="9" s="1"/>
  <c r="O263" i="10"/>
  <c r="L261" i="10"/>
  <c r="O261" i="10" s="1"/>
  <c r="L165" i="10"/>
  <c r="O165" i="10" s="1"/>
  <c r="P90" i="10"/>
  <c r="M88" i="10"/>
  <c r="P29" i="10"/>
  <c r="M14" i="10"/>
  <c r="M119" i="9"/>
  <c r="P119" i="9" s="1"/>
  <c r="K433" i="6"/>
  <c r="O151" i="6"/>
  <c r="P330" i="9"/>
  <c r="O263" i="7"/>
  <c r="O55" i="8"/>
  <c r="L444" i="5"/>
  <c r="O444" i="5" s="1"/>
  <c r="I64" i="8"/>
  <c r="K64" i="8" s="1"/>
  <c r="O330" i="9"/>
  <c r="L132" i="9"/>
  <c r="O132" i="9" s="1"/>
  <c r="O134" i="9"/>
  <c r="L523" i="8"/>
  <c r="O523" i="8" s="1"/>
  <c r="I65" i="8"/>
  <c r="K65" i="8" s="1"/>
  <c r="O263" i="9"/>
  <c r="M165" i="9"/>
  <c r="P165" i="9" s="1"/>
  <c r="P167" i="9"/>
  <c r="I226" i="2"/>
  <c r="K226" i="2" s="1"/>
  <c r="I543" i="6"/>
  <c r="K543" i="6" s="1"/>
  <c r="M402" i="6"/>
  <c r="P402" i="6" s="1"/>
  <c r="O446" i="6"/>
  <c r="K76" i="6"/>
  <c r="M277" i="7"/>
  <c r="P277" i="7" s="1"/>
  <c r="P59" i="7"/>
  <c r="P549" i="8"/>
  <c r="P279" i="8"/>
  <c r="O263" i="8"/>
  <c r="L227" i="9"/>
  <c r="P261" i="9"/>
  <c r="L165" i="9"/>
  <c r="O165" i="9" s="1"/>
  <c r="O167" i="9"/>
  <c r="M544" i="9"/>
  <c r="P544" i="9" s="1"/>
  <c r="P183" i="9"/>
  <c r="M181" i="9"/>
  <c r="P181" i="9" s="1"/>
  <c r="L88" i="9"/>
  <c r="O88" i="9" s="1"/>
  <c r="L261" i="7"/>
  <c r="O261" i="7" s="1"/>
  <c r="P263" i="7"/>
  <c r="M547" i="8"/>
  <c r="P547" i="8" s="1"/>
  <c r="O300" i="8"/>
  <c r="P68" i="8"/>
  <c r="O33" i="9"/>
  <c r="L31" i="9"/>
  <c r="O31" i="9" s="1"/>
  <c r="M547" i="5"/>
  <c r="P547" i="5" s="1"/>
  <c r="M53" i="5"/>
  <c r="P53" i="5" s="1"/>
  <c r="O167" i="7"/>
  <c r="O264" i="7"/>
  <c r="M328" i="9"/>
  <c r="P328" i="9" s="1"/>
  <c r="L149" i="9"/>
  <c r="O149" i="9" s="1"/>
  <c r="O261" i="9"/>
  <c r="K559" i="9"/>
  <c r="I543" i="9"/>
  <c r="K543" i="9" s="1"/>
  <c r="P43" i="9"/>
  <c r="K275" i="5"/>
  <c r="O88" i="6"/>
  <c r="K364" i="7"/>
  <c r="O331" i="8"/>
  <c r="L88" i="8"/>
  <c r="O88" i="8" s="1"/>
  <c r="O279" i="8"/>
  <c r="O261" i="8"/>
  <c r="P404" i="8"/>
  <c r="L30" i="9"/>
  <c r="O30" i="9" s="1"/>
  <c r="O68" i="9"/>
  <c r="L66" i="9"/>
  <c r="O66" i="9" s="1"/>
  <c r="O279" i="9"/>
  <c r="L277" i="9"/>
  <c r="O277" i="9" s="1"/>
  <c r="L786" i="6"/>
  <c r="O786" i="6" s="1"/>
  <c r="I226" i="6"/>
  <c r="K226" i="6" s="1"/>
  <c r="L20" i="6"/>
  <c r="L18" i="6" s="1"/>
  <c r="M419" i="8"/>
  <c r="P419" i="8" s="1"/>
  <c r="M33" i="8"/>
  <c r="M31" i="8" s="1"/>
  <c r="P31" i="8" s="1"/>
  <c r="M16" i="8"/>
  <c r="P16" i="8" s="1"/>
  <c r="K237" i="9"/>
  <c r="I226" i="9"/>
  <c r="I65" i="9"/>
  <c r="K65" i="9" s="1"/>
  <c r="K77" i="9"/>
  <c r="M402" i="9"/>
  <c r="P402" i="9" s="1"/>
  <c r="P404" i="9"/>
  <c r="O391" i="9"/>
  <c r="L389" i="9"/>
  <c r="O389" i="9" s="1"/>
  <c r="N16" i="9"/>
  <c r="N14" i="9" s="1"/>
  <c r="N24" i="9"/>
  <c r="P24" i="9" s="1"/>
  <c r="O36" i="9"/>
  <c r="L34" i="9"/>
  <c r="O34" i="9" s="1"/>
  <c r="P26" i="9"/>
  <c r="O687" i="9"/>
  <c r="L685" i="9"/>
  <c r="O685" i="9" s="1"/>
  <c r="P279" i="9"/>
  <c r="M277" i="9"/>
  <c r="P277" i="9" s="1"/>
  <c r="O446" i="9"/>
  <c r="L444" i="9"/>
  <c r="O444" i="9" s="1"/>
  <c r="L298" i="9"/>
  <c r="O298" i="9" s="1"/>
  <c r="P347" i="8"/>
  <c r="P183" i="7"/>
  <c r="O328" i="9"/>
  <c r="O56" i="9"/>
  <c r="O26" i="9"/>
  <c r="L16" i="9"/>
  <c r="L14" i="9" s="1"/>
  <c r="L24" i="9"/>
  <c r="K434" i="9"/>
  <c r="I418" i="9"/>
  <c r="K418" i="9" s="1"/>
  <c r="K76" i="9"/>
  <c r="I64" i="9"/>
  <c r="K64" i="9" s="1"/>
  <c r="L345" i="9"/>
  <c r="O345" i="9" s="1"/>
  <c r="O347" i="9"/>
  <c r="N181" i="7"/>
  <c r="O181" i="7" s="1"/>
  <c r="K288" i="8"/>
  <c r="L523" i="9"/>
  <c r="O523" i="9" s="1"/>
  <c r="O525" i="9"/>
  <c r="P421" i="9"/>
  <c r="M419" i="9"/>
  <c r="N9" i="9"/>
  <c r="O23" i="9"/>
  <c r="L20" i="9"/>
  <c r="L13" i="9"/>
  <c r="N414" i="9"/>
  <c r="I417" i="9"/>
  <c r="K417" i="9" s="1"/>
  <c r="K433" i="9"/>
  <c r="P331" i="9"/>
  <c r="O331" i="9"/>
  <c r="O9" i="9"/>
  <c r="P264" i="7"/>
  <c r="P44" i="7"/>
  <c r="L315" i="7"/>
  <c r="O315" i="7" s="1"/>
  <c r="O348" i="8"/>
  <c r="M687" i="9"/>
  <c r="M688" i="9"/>
  <c r="P688" i="9" s="1"/>
  <c r="P690" i="9"/>
  <c r="M33" i="9"/>
  <c r="M13" i="9" s="1"/>
  <c r="P347" i="9"/>
  <c r="O15" i="9"/>
  <c r="P29" i="9"/>
  <c r="M20" i="9"/>
  <c r="P23" i="9"/>
  <c r="N20" i="9"/>
  <c r="N18" i="9" s="1"/>
  <c r="N21" i="9"/>
  <c r="P21" i="9" s="1"/>
  <c r="N13" i="9"/>
  <c r="L419" i="9"/>
  <c r="O421" i="9"/>
  <c r="P345" i="9"/>
  <c r="O121" i="9"/>
  <c r="L119" i="9"/>
  <c r="O119" i="9" s="1"/>
  <c r="O29" i="9"/>
  <c r="P9" i="9"/>
  <c r="P44" i="9"/>
  <c r="O44" i="9"/>
  <c r="P43" i="1"/>
  <c r="P55" i="6"/>
  <c r="P168" i="7"/>
  <c r="L149" i="7"/>
  <c r="O149" i="7" s="1"/>
  <c r="L16" i="8"/>
  <c r="L14" i="8" s="1"/>
  <c r="O14" i="8" s="1"/>
  <c r="K364" i="8"/>
  <c r="O183" i="5"/>
  <c r="M119" i="7"/>
  <c r="P119" i="7" s="1"/>
  <c r="L298" i="8"/>
  <c r="O298" i="8" s="1"/>
  <c r="O43" i="8"/>
  <c r="K77" i="6"/>
  <c r="P55" i="8"/>
  <c r="M149" i="5"/>
  <c r="P149" i="5" s="1"/>
  <c r="L389" i="6"/>
  <c r="O389" i="6" s="1"/>
  <c r="M421" i="6"/>
  <c r="P421" i="6" s="1"/>
  <c r="P347" i="7"/>
  <c r="L277" i="7"/>
  <c r="O277" i="7" s="1"/>
  <c r="L467" i="8"/>
  <c r="O467" i="8" s="1"/>
  <c r="M402" i="2"/>
  <c r="P402" i="2" s="1"/>
  <c r="O330" i="6"/>
  <c r="M261" i="7"/>
  <c r="P261" i="7" s="1"/>
  <c r="M165" i="8"/>
  <c r="P165" i="8" s="1"/>
  <c r="P167" i="8"/>
  <c r="M688" i="8"/>
  <c r="P688" i="8" s="1"/>
  <c r="P690" i="8"/>
  <c r="M687" i="8"/>
  <c r="M132" i="8"/>
  <c r="P132" i="8" s="1"/>
  <c r="P134" i="8"/>
  <c r="O151" i="4"/>
  <c r="N149" i="6"/>
  <c r="P149" i="6" s="1"/>
  <c r="O183" i="8"/>
  <c r="L181" i="8"/>
  <c r="O181" i="8" s="1"/>
  <c r="O134" i="8"/>
  <c r="L132" i="8"/>
  <c r="O132" i="8" s="1"/>
  <c r="P151" i="4"/>
  <c r="N53" i="8"/>
  <c r="N37" i="8" s="1"/>
  <c r="O631" i="8"/>
  <c r="L629" i="8"/>
  <c r="O629" i="8" s="1"/>
  <c r="O167" i="8"/>
  <c r="L165" i="8"/>
  <c r="O165" i="8" s="1"/>
  <c r="L31" i="3"/>
  <c r="O31" i="3" s="1"/>
  <c r="L685" i="5"/>
  <c r="O685" i="5" s="1"/>
  <c r="K364" i="6"/>
  <c r="P88" i="6"/>
  <c r="M181" i="8"/>
  <c r="P181" i="8" s="1"/>
  <c r="P183" i="8"/>
  <c r="P43" i="8"/>
  <c r="M41" i="8"/>
  <c r="P41" i="8" s="1"/>
  <c r="O347" i="8"/>
  <c r="K433" i="8"/>
  <c r="J417" i="8"/>
  <c r="K417" i="8" s="1"/>
  <c r="P263" i="8"/>
  <c r="M261" i="8"/>
  <c r="P261" i="8" s="1"/>
  <c r="N9" i="8"/>
  <c r="O33" i="8"/>
  <c r="L30" i="8"/>
  <c r="O30" i="8" s="1"/>
  <c r="O134" i="4"/>
  <c r="L389" i="8"/>
  <c r="O389" i="8" s="1"/>
  <c r="K559" i="8"/>
  <c r="I543" i="8"/>
  <c r="K543" i="8" s="1"/>
  <c r="P29" i="8"/>
  <c r="O15" i="8"/>
  <c r="L419" i="8"/>
  <c r="P660" i="8"/>
  <c r="M658" i="8"/>
  <c r="P658" i="8" s="1"/>
  <c r="M657" i="8"/>
  <c r="L544" i="8"/>
  <c r="O544" i="8" s="1"/>
  <c r="O41" i="8"/>
  <c r="M66" i="7"/>
  <c r="P66" i="7" s="1"/>
  <c r="L66" i="7"/>
  <c r="O66" i="7" s="1"/>
  <c r="O688" i="8"/>
  <c r="N20" i="8"/>
  <c r="N18" i="8" s="1"/>
  <c r="N13" i="8"/>
  <c r="N10" i="8" s="1"/>
  <c r="K248" i="8"/>
  <c r="I226" i="8"/>
  <c r="O9" i="8"/>
  <c r="P300" i="8"/>
  <c r="M298" i="8"/>
  <c r="P298" i="8" s="1"/>
  <c r="N21" i="8"/>
  <c r="L13" i="6"/>
  <c r="O546" i="7"/>
  <c r="I226" i="7"/>
  <c r="I180" i="7" s="1"/>
  <c r="K180" i="7" s="1"/>
  <c r="P449" i="8"/>
  <c r="M446" i="8"/>
  <c r="M447" i="8"/>
  <c r="P447" i="8" s="1"/>
  <c r="P15" i="8"/>
  <c r="L31" i="8"/>
  <c r="O31" i="8" s="1"/>
  <c r="K143" i="8"/>
  <c r="I131" i="8"/>
  <c r="K131" i="8" s="1"/>
  <c r="P26" i="8"/>
  <c r="N24" i="8"/>
  <c r="P24" i="8" s="1"/>
  <c r="M402" i="7"/>
  <c r="P402" i="7" s="1"/>
  <c r="L30" i="7"/>
  <c r="L28" i="7" s="1"/>
  <c r="P9" i="8"/>
  <c r="O29" i="8"/>
  <c r="P330" i="8"/>
  <c r="M328" i="8"/>
  <c r="P328" i="8" s="1"/>
  <c r="L21" i="8"/>
  <c r="O23" i="8"/>
  <c r="L20" i="8"/>
  <c r="L13" i="8"/>
  <c r="O330" i="8"/>
  <c r="L328" i="8"/>
  <c r="O328" i="8" s="1"/>
  <c r="L149" i="8"/>
  <c r="O149" i="8" s="1"/>
  <c r="P545" i="8"/>
  <c r="M544" i="8"/>
  <c r="P544" i="8" s="1"/>
  <c r="O36" i="8"/>
  <c r="L34" i="8"/>
  <c r="O34" i="8" s="1"/>
  <c r="O546" i="6"/>
  <c r="P183" i="6"/>
  <c r="L34" i="7"/>
  <c r="O34" i="7" s="1"/>
  <c r="I418" i="8"/>
  <c r="K418" i="8" s="1"/>
  <c r="K434" i="8"/>
  <c r="P121" i="8"/>
  <c r="M119" i="8"/>
  <c r="P119" i="8" s="1"/>
  <c r="P23" i="8"/>
  <c r="M20" i="8"/>
  <c r="M21" i="8"/>
  <c r="O26" i="8"/>
  <c r="P280" i="5"/>
  <c r="N20" i="7"/>
  <c r="N18" i="7" s="1"/>
  <c r="O90" i="7"/>
  <c r="O657" i="7"/>
  <c r="L655" i="7"/>
  <c r="O655" i="7" s="1"/>
  <c r="O330" i="7"/>
  <c r="L315" i="6"/>
  <c r="O315" i="6" s="1"/>
  <c r="O33" i="7"/>
  <c r="M132" i="7"/>
  <c r="P132" i="7" s="1"/>
  <c r="L227" i="7"/>
  <c r="O26" i="7"/>
  <c r="K77" i="7"/>
  <c r="I65" i="7"/>
  <c r="K65" i="7" s="1"/>
  <c r="P317" i="7"/>
  <c r="M315" i="7"/>
  <c r="P315" i="7" s="1"/>
  <c r="O91" i="4"/>
  <c r="P549" i="5"/>
  <c r="K417" i="6"/>
  <c r="K433" i="7"/>
  <c r="L88" i="7"/>
  <c r="O88" i="7" s="1"/>
  <c r="N21" i="7"/>
  <c r="P21" i="7" s="1"/>
  <c r="L16" i="7"/>
  <c r="N24" i="7"/>
  <c r="O24" i="7" s="1"/>
  <c r="N16" i="7"/>
  <c r="N14" i="7" s="1"/>
  <c r="I65" i="5"/>
  <c r="K65" i="5" s="1"/>
  <c r="O43" i="6"/>
  <c r="M547" i="7"/>
  <c r="P547" i="7" s="1"/>
  <c r="M546" i="7"/>
  <c r="M544" i="7" s="1"/>
  <c r="M119" i="6"/>
  <c r="P119" i="6" s="1"/>
  <c r="M132" i="6"/>
  <c r="P132" i="6" s="1"/>
  <c r="O631" i="7"/>
  <c r="L402" i="7"/>
  <c r="O402" i="7" s="1"/>
  <c r="M632" i="7"/>
  <c r="P632" i="7" s="1"/>
  <c r="M631" i="7"/>
  <c r="M629" i="7" s="1"/>
  <c r="O121" i="7"/>
  <c r="L119" i="7"/>
  <c r="O119" i="7" s="1"/>
  <c r="P549" i="7"/>
  <c r="L419" i="7"/>
  <c r="O419" i="7" s="1"/>
  <c r="O328" i="7"/>
  <c r="P300" i="7"/>
  <c r="M298" i="7"/>
  <c r="P298" i="7" s="1"/>
  <c r="M470" i="7"/>
  <c r="P470" i="7" s="1"/>
  <c r="M469" i="7"/>
  <c r="N14" i="6"/>
  <c r="O55" i="7"/>
  <c r="N13" i="7"/>
  <c r="N11" i="7" s="1"/>
  <c r="L66" i="5"/>
  <c r="O66" i="5" s="1"/>
  <c r="L34" i="5"/>
  <c r="O34" i="5" s="1"/>
  <c r="P263" i="6"/>
  <c r="L227" i="6"/>
  <c r="L16" i="6"/>
  <c r="L14" i="6" s="1"/>
  <c r="L30" i="6"/>
  <c r="P53" i="6"/>
  <c r="O348" i="7"/>
  <c r="P23" i="7"/>
  <c r="M20" i="7"/>
  <c r="M18" i="7" s="1"/>
  <c r="P18" i="7" s="1"/>
  <c r="P41" i="7"/>
  <c r="P43" i="7"/>
  <c r="J592" i="7"/>
  <c r="K592" i="7" s="1"/>
  <c r="K593" i="7"/>
  <c r="P12" i="7"/>
  <c r="M9" i="7"/>
  <c r="P345" i="7"/>
  <c r="P330" i="7"/>
  <c r="M328" i="7"/>
  <c r="P328" i="7" s="1"/>
  <c r="O31" i="7"/>
  <c r="N31" i="7"/>
  <c r="N30" i="7"/>
  <c r="N544" i="7"/>
  <c r="N414" i="7" s="1"/>
  <c r="P424" i="7"/>
  <c r="M421" i="7"/>
  <c r="M422" i="7"/>
  <c r="P422" i="7" s="1"/>
  <c r="M33" i="7"/>
  <c r="L345" i="7"/>
  <c r="O345" i="7" s="1"/>
  <c r="P19" i="7"/>
  <c r="I418" i="7"/>
  <c r="K418" i="7" s="1"/>
  <c r="K434" i="7"/>
  <c r="N9" i="7"/>
  <c r="L165" i="7"/>
  <c r="O165" i="7" s="1"/>
  <c r="K143" i="7"/>
  <c r="I131" i="7"/>
  <c r="K131" i="7" s="1"/>
  <c r="P29" i="7"/>
  <c r="O469" i="6"/>
  <c r="P167" i="7"/>
  <c r="M165" i="7"/>
  <c r="P165" i="7" s="1"/>
  <c r="O134" i="7"/>
  <c r="L132" i="7"/>
  <c r="O132" i="7" s="1"/>
  <c r="O23" i="7"/>
  <c r="L20" i="7"/>
  <c r="L21" i="7"/>
  <c r="L13" i="7"/>
  <c r="O183" i="6"/>
  <c r="O21" i="6"/>
  <c r="O55" i="6"/>
  <c r="O53" i="6"/>
  <c r="L389" i="7"/>
  <c r="O389" i="7" s="1"/>
  <c r="O547" i="7"/>
  <c r="L523" i="7"/>
  <c r="O523" i="7" s="1"/>
  <c r="L467" i="7"/>
  <c r="O467" i="7" s="1"/>
  <c r="P55" i="7"/>
  <c r="P391" i="7"/>
  <c r="M389" i="7"/>
  <c r="P389" i="7" s="1"/>
  <c r="O43" i="7"/>
  <c r="N688" i="1"/>
  <c r="P688" i="1" s="1"/>
  <c r="M402" i="4"/>
  <c r="P402" i="4" s="1"/>
  <c r="P167" i="4"/>
  <c r="O36" i="4"/>
  <c r="L227" i="5"/>
  <c r="L402" i="6"/>
  <c r="O402" i="6" s="1"/>
  <c r="L165" i="6"/>
  <c r="O165" i="6" s="1"/>
  <c r="P151" i="6"/>
  <c r="O68" i="6"/>
  <c r="N629" i="7"/>
  <c r="O422" i="7"/>
  <c r="M16" i="7"/>
  <c r="P26" i="7"/>
  <c r="M24" i="7"/>
  <c r="O41" i="7"/>
  <c r="L444" i="7"/>
  <c r="O444" i="7" s="1"/>
  <c r="P90" i="7"/>
  <c r="M88" i="7"/>
  <c r="P88" i="7" s="1"/>
  <c r="L685" i="7"/>
  <c r="O685" i="7" s="1"/>
  <c r="N53" i="7"/>
  <c r="O53" i="7" s="1"/>
  <c r="P687" i="4"/>
  <c r="I64" i="5"/>
  <c r="K64" i="5" s="1"/>
  <c r="P43" i="6"/>
  <c r="P66" i="6"/>
  <c r="M422" i="6"/>
  <c r="P422" i="6" s="1"/>
  <c r="O134" i="6"/>
  <c r="P90" i="6"/>
  <c r="L685" i="3"/>
  <c r="O685" i="3" s="1"/>
  <c r="O546" i="4"/>
  <c r="O657" i="4"/>
  <c r="O347" i="5"/>
  <c r="P44" i="6"/>
  <c r="O90" i="6"/>
  <c r="P23" i="4"/>
  <c r="O121" i="5"/>
  <c r="O300" i="5"/>
  <c r="M277" i="6"/>
  <c r="P277" i="6" s="1"/>
  <c r="O631" i="6"/>
  <c r="L629" i="6"/>
  <c r="O629" i="6" s="1"/>
  <c r="O300" i="6"/>
  <c r="N298" i="6"/>
  <c r="O298" i="6" s="1"/>
  <c r="P472" i="6"/>
  <c r="M469" i="6"/>
  <c r="P279" i="1"/>
  <c r="L66" i="4"/>
  <c r="O66" i="4" s="1"/>
  <c r="L629" i="5"/>
  <c r="O629" i="5" s="1"/>
  <c r="P56" i="5"/>
  <c r="P168" i="6"/>
  <c r="O26" i="6"/>
  <c r="M345" i="6"/>
  <c r="P345" i="6" s="1"/>
  <c r="P347" i="6"/>
  <c r="O687" i="6"/>
  <c r="L685" i="6"/>
  <c r="O685" i="6" s="1"/>
  <c r="P183" i="5"/>
  <c r="L20" i="5"/>
  <c r="L18" i="5" s="1"/>
  <c r="L345" i="6"/>
  <c r="O345" i="6" s="1"/>
  <c r="P68" i="6"/>
  <c r="O277" i="1"/>
  <c r="O90" i="4"/>
  <c r="I418" i="5"/>
  <c r="K418" i="5" s="1"/>
  <c r="O544" i="4"/>
  <c r="L786" i="4"/>
  <c r="O786" i="4" s="1"/>
  <c r="M149" i="4"/>
  <c r="P149" i="4" s="1"/>
  <c r="P690" i="4"/>
  <c r="M688" i="4"/>
  <c r="P688" i="4" s="1"/>
  <c r="P181" i="6"/>
  <c r="L34" i="6"/>
  <c r="O34" i="6" s="1"/>
  <c r="I418" i="4"/>
  <c r="K418" i="4" s="1"/>
  <c r="O328" i="3"/>
  <c r="O44" i="5"/>
  <c r="L132" i="5"/>
  <c r="O132" i="5" s="1"/>
  <c r="M470" i="6"/>
  <c r="P470" i="6" s="1"/>
  <c r="M544" i="6"/>
  <c r="P544" i="6" s="1"/>
  <c r="N24" i="6"/>
  <c r="O24" i="6" s="1"/>
  <c r="P300" i="6"/>
  <c r="O447" i="4"/>
  <c r="O90" i="5"/>
  <c r="O657" i="6"/>
  <c r="L655" i="6"/>
  <c r="O655" i="6" s="1"/>
  <c r="L181" i="6"/>
  <c r="O181" i="6" s="1"/>
  <c r="P330" i="6"/>
  <c r="M328" i="6"/>
  <c r="P328" i="6" s="1"/>
  <c r="P26" i="6"/>
  <c r="M16" i="6"/>
  <c r="P16" i="6" s="1"/>
  <c r="M24" i="6"/>
  <c r="P167" i="6"/>
  <c r="M165" i="6"/>
  <c r="P165" i="6" s="1"/>
  <c r="M631" i="6"/>
  <c r="M632" i="6"/>
  <c r="P632" i="6" s="1"/>
  <c r="P634" i="6"/>
  <c r="M33" i="6"/>
  <c r="M13" i="6" s="1"/>
  <c r="P29" i="6"/>
  <c r="P660" i="6"/>
  <c r="M657" i="6"/>
  <c r="M658" i="6"/>
  <c r="P658" i="6" s="1"/>
  <c r="O279" i="6"/>
  <c r="L277" i="6"/>
  <c r="O277" i="6" s="1"/>
  <c r="P15" i="6"/>
  <c r="K434" i="6"/>
  <c r="I418" i="6"/>
  <c r="K418" i="6" s="1"/>
  <c r="O19" i="6"/>
  <c r="M315" i="6"/>
  <c r="P315" i="6" s="1"/>
  <c r="P23" i="6"/>
  <c r="M20" i="6"/>
  <c r="M21" i="6"/>
  <c r="P21" i="6" s="1"/>
  <c r="M687" i="6"/>
  <c r="M688" i="6"/>
  <c r="P688" i="6" s="1"/>
  <c r="P690" i="6"/>
  <c r="O544" i="6"/>
  <c r="M9" i="6"/>
  <c r="N261" i="6"/>
  <c r="P261" i="6" s="1"/>
  <c r="M389" i="6"/>
  <c r="P389" i="6" s="1"/>
  <c r="P391" i="6"/>
  <c r="O66" i="6"/>
  <c r="O263" i="6"/>
  <c r="N20" i="6"/>
  <c r="N13" i="6"/>
  <c r="N11" i="6" s="1"/>
  <c r="O23" i="6"/>
  <c r="P41" i="6"/>
  <c r="O525" i="6"/>
  <c r="L523" i="6"/>
  <c r="O523" i="6" s="1"/>
  <c r="O12" i="6"/>
  <c r="L9" i="6"/>
  <c r="N9" i="6"/>
  <c r="O41" i="6"/>
  <c r="O317" i="1"/>
  <c r="P167" i="1"/>
  <c r="L786" i="2"/>
  <c r="O786" i="2" s="1"/>
  <c r="L786" i="3"/>
  <c r="O786" i="3" s="1"/>
  <c r="P328" i="4"/>
  <c r="P328" i="3"/>
  <c r="K654" i="4"/>
  <c r="P300" i="5"/>
  <c r="L655" i="5"/>
  <c r="O655" i="5" s="1"/>
  <c r="O317" i="5"/>
  <c r="M41" i="1"/>
  <c r="P41" i="1" s="1"/>
  <c r="P43" i="2"/>
  <c r="L13" i="4"/>
  <c r="L11" i="4" s="1"/>
  <c r="P167" i="2"/>
  <c r="O470" i="4"/>
  <c r="M402" i="3"/>
  <c r="P402" i="3" s="1"/>
  <c r="P300" i="4"/>
  <c r="M66" i="4"/>
  <c r="P66" i="4" s="1"/>
  <c r="L88" i="4"/>
  <c r="O88" i="4" s="1"/>
  <c r="O330" i="4"/>
  <c r="P55" i="4"/>
  <c r="M298" i="5"/>
  <c r="N298" i="5"/>
  <c r="O298" i="5" s="1"/>
  <c r="L16" i="5"/>
  <c r="O16" i="5" s="1"/>
  <c r="M132" i="3"/>
  <c r="P132" i="3" s="1"/>
  <c r="O261" i="3"/>
  <c r="O658" i="4"/>
  <c r="O33" i="4"/>
  <c r="P472" i="4"/>
  <c r="M469" i="4"/>
  <c r="K143" i="5"/>
  <c r="I131" i="5"/>
  <c r="K131" i="5" s="1"/>
  <c r="P121" i="5"/>
  <c r="M119" i="5"/>
  <c r="P119" i="5" s="1"/>
  <c r="P134" i="1"/>
  <c r="M685" i="3"/>
  <c r="P685" i="3" s="1"/>
  <c r="O330" i="3"/>
  <c r="K76" i="3"/>
  <c r="K417" i="3"/>
  <c r="O280" i="4"/>
  <c r="O334" i="4"/>
  <c r="P183" i="4"/>
  <c r="M389" i="4"/>
  <c r="P389" i="4" s="1"/>
  <c r="O526" i="5"/>
  <c r="N277" i="5"/>
  <c r="P277" i="5" s="1"/>
  <c r="O328" i="5"/>
  <c r="O238" i="5"/>
  <c r="O264" i="5"/>
  <c r="O43" i="5"/>
  <c r="N13" i="5"/>
  <c r="N11" i="5" s="1"/>
  <c r="M66" i="5"/>
  <c r="P66" i="5" s="1"/>
  <c r="K433" i="5"/>
  <c r="J417" i="5"/>
  <c r="K417" i="5" s="1"/>
  <c r="P277" i="4"/>
  <c r="P317" i="5"/>
  <c r="O151" i="5"/>
  <c r="L149" i="5"/>
  <c r="O149" i="5" s="1"/>
  <c r="P391" i="5"/>
  <c r="M389" i="5"/>
  <c r="P389" i="5" s="1"/>
  <c r="O21" i="5"/>
  <c r="M132" i="2"/>
  <c r="P132" i="2" s="1"/>
  <c r="O351" i="1"/>
  <c r="O347" i="1"/>
  <c r="O404" i="2"/>
  <c r="O151" i="3"/>
  <c r="O687" i="4"/>
  <c r="I64" i="4"/>
  <c r="K64" i="4" s="1"/>
  <c r="O277" i="4"/>
  <c r="L389" i="4"/>
  <c r="O389" i="4" s="1"/>
  <c r="O44" i="4"/>
  <c r="L402" i="5"/>
  <c r="O402" i="5" s="1"/>
  <c r="L345" i="5"/>
  <c r="O345" i="5" s="1"/>
  <c r="L30" i="4"/>
  <c r="L28" i="4" s="1"/>
  <c r="P90" i="5"/>
  <c r="N88" i="5"/>
  <c r="P88" i="5" s="1"/>
  <c r="O198" i="1"/>
  <c r="O43" i="1"/>
  <c r="L389" i="3"/>
  <c r="O389" i="3" s="1"/>
  <c r="P151" i="3"/>
  <c r="P300" i="2"/>
  <c r="M33" i="4"/>
  <c r="P33" i="4" s="1"/>
  <c r="K537" i="5"/>
  <c r="O23" i="5"/>
  <c r="O330" i="5"/>
  <c r="O348" i="2"/>
  <c r="K288" i="2"/>
  <c r="P347" i="3"/>
  <c r="O165" i="3"/>
  <c r="O347" i="3"/>
  <c r="P43" i="4"/>
  <c r="N24" i="4"/>
  <c r="P263" i="4"/>
  <c r="M422" i="4"/>
  <c r="P422" i="4" s="1"/>
  <c r="O469" i="5"/>
  <c r="M328" i="5"/>
  <c r="P328" i="5" s="1"/>
  <c r="P330" i="5"/>
  <c r="O279" i="5"/>
  <c r="L277" i="5"/>
  <c r="L30" i="5"/>
  <c r="O30" i="5" s="1"/>
  <c r="O33" i="5"/>
  <c r="M421" i="5"/>
  <c r="P424" i="5"/>
  <c r="M422" i="5"/>
  <c r="P422" i="5" s="1"/>
  <c r="M33" i="5"/>
  <c r="M13" i="5" s="1"/>
  <c r="M11" i="5" s="1"/>
  <c r="N41" i="5"/>
  <c r="P41" i="5" s="1"/>
  <c r="O546" i="5"/>
  <c r="L544" i="5"/>
  <c r="O544" i="5" s="1"/>
  <c r="P444" i="5"/>
  <c r="L523" i="5"/>
  <c r="O523" i="5" s="1"/>
  <c r="P26" i="5"/>
  <c r="M16" i="5"/>
  <c r="P16" i="5" s="1"/>
  <c r="O263" i="5"/>
  <c r="N261" i="5"/>
  <c r="P261" i="5" s="1"/>
  <c r="P263" i="5"/>
  <c r="K248" i="5"/>
  <c r="I226" i="5"/>
  <c r="O12" i="5"/>
  <c r="L9" i="5"/>
  <c r="N20" i="5"/>
  <c r="P347" i="5"/>
  <c r="M345" i="5"/>
  <c r="P345" i="5" s="1"/>
  <c r="O280" i="5"/>
  <c r="P23" i="5"/>
  <c r="M21" i="5"/>
  <c r="P21" i="5" s="1"/>
  <c r="M20" i="5"/>
  <c r="N24" i="5"/>
  <c r="O24" i="5" s="1"/>
  <c r="P43" i="5"/>
  <c r="N21" i="4"/>
  <c r="P21" i="4" s="1"/>
  <c r="P29" i="5"/>
  <c r="O15" i="5"/>
  <c r="O26" i="5"/>
  <c r="M544" i="2"/>
  <c r="P544" i="2" s="1"/>
  <c r="L34" i="2"/>
  <c r="O34" i="2" s="1"/>
  <c r="L298" i="3"/>
  <c r="O298" i="3" s="1"/>
  <c r="L66" i="3"/>
  <c r="O66" i="3" s="1"/>
  <c r="L132" i="4"/>
  <c r="O132" i="4" s="1"/>
  <c r="O469" i="4"/>
  <c r="P424" i="4"/>
  <c r="M402" i="5"/>
  <c r="P402" i="5" s="1"/>
  <c r="P404" i="5"/>
  <c r="P469" i="5"/>
  <c r="M467" i="5"/>
  <c r="P467" i="5" s="1"/>
  <c r="L467" i="5"/>
  <c r="O467" i="5" s="1"/>
  <c r="O29" i="5"/>
  <c r="O315" i="5"/>
  <c r="L53" i="5"/>
  <c r="O53" i="5" s="1"/>
  <c r="P12" i="5"/>
  <c r="M9" i="5"/>
  <c r="P44" i="5"/>
  <c r="L13" i="5"/>
  <c r="L11" i="5" s="1"/>
  <c r="N14" i="5"/>
  <c r="M24" i="5"/>
  <c r="P545" i="5"/>
  <c r="M544" i="5"/>
  <c r="P544" i="5" s="1"/>
  <c r="O391" i="5"/>
  <c r="L389" i="5"/>
  <c r="O389" i="5" s="1"/>
  <c r="P15" i="5"/>
  <c r="P167" i="5"/>
  <c r="M165" i="5"/>
  <c r="P165" i="5" s="1"/>
  <c r="O421" i="5"/>
  <c r="L419" i="5"/>
  <c r="K364" i="2"/>
  <c r="P421" i="3"/>
  <c r="O279" i="4"/>
  <c r="P347" i="4"/>
  <c r="K77" i="4"/>
  <c r="I65" i="4"/>
  <c r="K65" i="4" s="1"/>
  <c r="P424" i="3"/>
  <c r="O347" i="4"/>
  <c r="P279" i="4"/>
  <c r="L328" i="4"/>
  <c r="O328" i="4" s="1"/>
  <c r="I543" i="4"/>
  <c r="K543" i="4" s="1"/>
  <c r="K559" i="4"/>
  <c r="K275" i="4"/>
  <c r="O404" i="4"/>
  <c r="L402" i="4"/>
  <c r="O402" i="4" s="1"/>
  <c r="L629" i="4"/>
  <c r="O629" i="4" s="1"/>
  <c r="M261" i="4"/>
  <c r="P261" i="4" s="1"/>
  <c r="P165" i="4"/>
  <c r="O23" i="4"/>
  <c r="L419" i="4"/>
  <c r="O419" i="4" s="1"/>
  <c r="L523" i="4"/>
  <c r="O523" i="4" s="1"/>
  <c r="O167" i="4"/>
  <c r="M298" i="2"/>
  <c r="P298" i="2" s="1"/>
  <c r="M315" i="3"/>
  <c r="P315" i="3" s="1"/>
  <c r="L402" i="3"/>
  <c r="O402" i="3" s="1"/>
  <c r="O43" i="3"/>
  <c r="M444" i="4"/>
  <c r="P444" i="4" s="1"/>
  <c r="M181" i="4"/>
  <c r="M419" i="4"/>
  <c r="P419" i="4" s="1"/>
  <c r="M547" i="3"/>
  <c r="P547" i="3" s="1"/>
  <c r="P55" i="3"/>
  <c r="P330" i="4"/>
  <c r="J594" i="1"/>
  <c r="K594" i="1" s="1"/>
  <c r="O421" i="2"/>
  <c r="O167" i="3"/>
  <c r="L119" i="3"/>
  <c r="O119" i="3" s="1"/>
  <c r="O446" i="4"/>
  <c r="M345" i="4"/>
  <c r="P345" i="4" s="1"/>
  <c r="P658" i="4"/>
  <c r="J592" i="4"/>
  <c r="K592" i="4" s="1"/>
  <c r="K593" i="4"/>
  <c r="L149" i="4"/>
  <c r="O149" i="4" s="1"/>
  <c r="K288" i="4"/>
  <c r="L298" i="4"/>
  <c r="O298" i="4" s="1"/>
  <c r="O300" i="4"/>
  <c r="I417" i="4"/>
  <c r="K417" i="4" s="1"/>
  <c r="K433" i="4"/>
  <c r="P298" i="4"/>
  <c r="L261" i="4"/>
  <c r="O261" i="4" s="1"/>
  <c r="O263" i="4"/>
  <c r="O165" i="4"/>
  <c r="O19" i="4"/>
  <c r="P317" i="4"/>
  <c r="M315" i="4"/>
  <c r="P315" i="4" s="1"/>
  <c r="O43" i="2"/>
  <c r="P655" i="4"/>
  <c r="P41" i="4"/>
  <c r="I131" i="4"/>
  <c r="K131" i="4" s="1"/>
  <c r="K143" i="4"/>
  <c r="M132" i="4"/>
  <c r="P132" i="4" s="1"/>
  <c r="P134" i="4"/>
  <c r="M345" i="3"/>
  <c r="P345" i="3" s="1"/>
  <c r="P15" i="4"/>
  <c r="P90" i="4"/>
  <c r="M88" i="4"/>
  <c r="P44" i="4"/>
  <c r="O26" i="4"/>
  <c r="L24" i="4"/>
  <c r="L16" i="4"/>
  <c r="N30" i="4"/>
  <c r="N31" i="4"/>
  <c r="O183" i="4"/>
  <c r="N181" i="4"/>
  <c r="O181" i="4" s="1"/>
  <c r="L20" i="4"/>
  <c r="L18" i="4" s="1"/>
  <c r="P261" i="3"/>
  <c r="L30" i="3"/>
  <c r="M9" i="4"/>
  <c r="O151" i="2"/>
  <c r="M546" i="3"/>
  <c r="P546" i="3" s="1"/>
  <c r="L34" i="3"/>
  <c r="O34" i="3" s="1"/>
  <c r="P470" i="4"/>
  <c r="P447" i="4"/>
  <c r="M544" i="4"/>
  <c r="P544" i="4" s="1"/>
  <c r="K364" i="4"/>
  <c r="L315" i="4"/>
  <c r="O315" i="4" s="1"/>
  <c r="I164" i="4"/>
  <c r="K164" i="4" s="1"/>
  <c r="K174" i="4"/>
  <c r="N655" i="4"/>
  <c r="N414" i="4" s="1"/>
  <c r="L227" i="4"/>
  <c r="O238" i="4"/>
  <c r="P53" i="4"/>
  <c r="K226" i="4"/>
  <c r="N20" i="4"/>
  <c r="N18" i="4" s="1"/>
  <c r="N13" i="4"/>
  <c r="L53" i="4"/>
  <c r="O53" i="4" s="1"/>
  <c r="O55" i="4"/>
  <c r="M16" i="4"/>
  <c r="P16" i="4" s="1"/>
  <c r="P26" i="4"/>
  <c r="M24" i="4"/>
  <c r="O41" i="4"/>
  <c r="M20" i="4"/>
  <c r="L119" i="4"/>
  <c r="O119" i="4" s="1"/>
  <c r="P121" i="4"/>
  <c r="M119" i="4"/>
  <c r="P119" i="4" s="1"/>
  <c r="O12" i="4"/>
  <c r="L9" i="4"/>
  <c r="O43" i="4"/>
  <c r="L544" i="2"/>
  <c r="O544" i="2" s="1"/>
  <c r="P90" i="2"/>
  <c r="L444" i="2"/>
  <c r="O444" i="2" s="1"/>
  <c r="L16" i="2"/>
  <c r="L14" i="2" s="1"/>
  <c r="N13" i="3"/>
  <c r="N11" i="3" s="1"/>
  <c r="M298" i="3"/>
  <c r="P298" i="3" s="1"/>
  <c r="O183" i="3"/>
  <c r="P263" i="3"/>
  <c r="M470" i="3"/>
  <c r="P470" i="3" s="1"/>
  <c r="M469" i="3"/>
  <c r="M467" i="3" s="1"/>
  <c r="N447" i="1"/>
  <c r="P447" i="1" s="1"/>
  <c r="L41" i="2"/>
  <c r="O41" i="2" s="1"/>
  <c r="P330" i="3"/>
  <c r="N446" i="1"/>
  <c r="P446" i="1" s="1"/>
  <c r="M389" i="1"/>
  <c r="P389" i="1" s="1"/>
  <c r="O261" i="2"/>
  <c r="P90" i="3"/>
  <c r="O279" i="3"/>
  <c r="L277" i="3"/>
  <c r="O277" i="3" s="1"/>
  <c r="L227" i="1"/>
  <c r="P330" i="2"/>
  <c r="L444" i="3"/>
  <c r="O444" i="3" s="1"/>
  <c r="O317" i="3"/>
  <c r="L315" i="3"/>
  <c r="O315" i="3" s="1"/>
  <c r="P121" i="3"/>
  <c r="M119" i="3"/>
  <c r="P119" i="3" s="1"/>
  <c r="P634" i="2"/>
  <c r="M470" i="2"/>
  <c r="P470" i="2" s="1"/>
  <c r="P317" i="2"/>
  <c r="M422" i="3"/>
  <c r="P422" i="3" s="1"/>
  <c r="O263" i="3"/>
  <c r="P53" i="3"/>
  <c r="L132" i="3"/>
  <c r="O132" i="3" s="1"/>
  <c r="N41" i="3"/>
  <c r="N88" i="3"/>
  <c r="P88" i="3" s="1"/>
  <c r="P472" i="2"/>
  <c r="L66" i="2"/>
  <c r="O66" i="2" s="1"/>
  <c r="L31" i="2"/>
  <c r="O31" i="2" s="1"/>
  <c r="K433" i="3"/>
  <c r="P43" i="3"/>
  <c r="M30" i="1"/>
  <c r="M28" i="1" s="1"/>
  <c r="L30" i="2"/>
  <c r="O30" i="2" s="1"/>
  <c r="P261" i="2"/>
  <c r="K235" i="1"/>
  <c r="P549" i="2"/>
  <c r="L24" i="2"/>
  <c r="P263" i="2"/>
  <c r="K143" i="2"/>
  <c r="O26" i="2"/>
  <c r="L629" i="2"/>
  <c r="O629" i="2" s="1"/>
  <c r="M389" i="3"/>
  <c r="P389" i="3" s="1"/>
  <c r="M66" i="3"/>
  <c r="P66" i="3" s="1"/>
  <c r="O56" i="3"/>
  <c r="N149" i="3"/>
  <c r="P149" i="3" s="1"/>
  <c r="O90" i="3"/>
  <c r="L88" i="3"/>
  <c r="O238" i="1"/>
  <c r="P300" i="1"/>
  <c r="M547" i="2"/>
  <c r="P547" i="2" s="1"/>
  <c r="L13" i="2"/>
  <c r="L11" i="2" s="1"/>
  <c r="P21" i="3"/>
  <c r="O264" i="3"/>
  <c r="P424" i="1"/>
  <c r="P528" i="1"/>
  <c r="O165" i="1"/>
  <c r="O151" i="1"/>
  <c r="P472" i="1"/>
  <c r="J593" i="1"/>
  <c r="J592" i="1" s="1"/>
  <c r="K592" i="1" s="1"/>
  <c r="P151" i="1"/>
  <c r="L20" i="2"/>
  <c r="L18" i="2" s="1"/>
  <c r="M328" i="2"/>
  <c r="P328" i="2" s="1"/>
  <c r="N165" i="2"/>
  <c r="P165" i="2" s="1"/>
  <c r="O631" i="3"/>
  <c r="L629" i="3"/>
  <c r="O629" i="3" s="1"/>
  <c r="K365" i="3"/>
  <c r="J364" i="3"/>
  <c r="K364" i="3" s="1"/>
  <c r="O525" i="3"/>
  <c r="L523" i="3"/>
  <c r="O523" i="3" s="1"/>
  <c r="P419" i="3"/>
  <c r="N467" i="3"/>
  <c r="P545" i="3"/>
  <c r="L345" i="3"/>
  <c r="O345" i="3" s="1"/>
  <c r="L21" i="3"/>
  <c r="O21" i="3" s="1"/>
  <c r="O23" i="3"/>
  <c r="L20" i="3"/>
  <c r="L18" i="3" s="1"/>
  <c r="L13" i="3"/>
  <c r="P12" i="3"/>
  <c r="M9" i="3"/>
  <c r="M389" i="2"/>
  <c r="P389" i="2" s="1"/>
  <c r="P26" i="3"/>
  <c r="M16" i="3"/>
  <c r="M24" i="3"/>
  <c r="M165" i="3"/>
  <c r="P165" i="3" s="1"/>
  <c r="P167" i="3"/>
  <c r="L227" i="3"/>
  <c r="K559" i="3"/>
  <c r="I543" i="3"/>
  <c r="K543" i="3" s="1"/>
  <c r="P660" i="3"/>
  <c r="M657" i="3"/>
  <c r="M658" i="3"/>
  <c r="P658" i="3" s="1"/>
  <c r="M33" i="3"/>
  <c r="M13" i="3" s="1"/>
  <c r="O19" i="3"/>
  <c r="O26" i="3"/>
  <c r="L16" i="3"/>
  <c r="L24" i="3"/>
  <c r="P135" i="1"/>
  <c r="O419" i="3"/>
  <c r="I418" i="3"/>
  <c r="K418" i="3" s="1"/>
  <c r="K434" i="3"/>
  <c r="N24" i="3"/>
  <c r="N16" i="3"/>
  <c r="N14" i="3" s="1"/>
  <c r="K237" i="3"/>
  <c r="I226" i="3"/>
  <c r="O12" i="3"/>
  <c r="L9" i="3"/>
  <c r="N20" i="3"/>
  <c r="N18" i="3" s="1"/>
  <c r="P315" i="2"/>
  <c r="O469" i="3"/>
  <c r="L467" i="3"/>
  <c r="O467" i="3" s="1"/>
  <c r="L544" i="3"/>
  <c r="O544" i="3" s="1"/>
  <c r="P23" i="3"/>
  <c r="M20" i="3"/>
  <c r="I65" i="3"/>
  <c r="K65" i="3" s="1"/>
  <c r="K77" i="3"/>
  <c r="P19" i="3"/>
  <c r="O55" i="3"/>
  <c r="L53" i="3"/>
  <c r="M181" i="3"/>
  <c r="P181" i="3" s="1"/>
  <c r="P183" i="3"/>
  <c r="P21" i="1"/>
  <c r="P449" i="1"/>
  <c r="I543" i="2"/>
  <c r="K543" i="2" s="1"/>
  <c r="M632" i="2"/>
  <c r="P632" i="2" s="1"/>
  <c r="M467" i="2"/>
  <c r="P467" i="2" s="1"/>
  <c r="O279" i="2"/>
  <c r="L30" i="1"/>
  <c r="L28" i="1" s="1"/>
  <c r="L227" i="2"/>
  <c r="L132" i="2"/>
  <c r="O132" i="2" s="1"/>
  <c r="O263" i="1"/>
  <c r="O183" i="1"/>
  <c r="M419" i="2"/>
  <c r="P419" i="2" s="1"/>
  <c r="L389" i="1"/>
  <c r="O389" i="1" s="1"/>
  <c r="M119" i="2"/>
  <c r="P119" i="2" s="1"/>
  <c r="P422" i="1"/>
  <c r="N632" i="1"/>
  <c r="P632" i="1" s="1"/>
  <c r="I226" i="1"/>
  <c r="I180" i="1" s="1"/>
  <c r="K180" i="1" s="1"/>
  <c r="N132" i="1"/>
  <c r="O132" i="1" s="1"/>
  <c r="K233" i="1"/>
  <c r="O134" i="1"/>
  <c r="P301" i="2"/>
  <c r="L34" i="1"/>
  <c r="O34" i="1" s="1"/>
  <c r="P68" i="2"/>
  <c r="M66" i="2"/>
  <c r="P66" i="2" s="1"/>
  <c r="L277" i="2"/>
  <c r="O277" i="2" s="1"/>
  <c r="O472" i="1"/>
  <c r="N470" i="1"/>
  <c r="O470" i="1" s="1"/>
  <c r="K275" i="2"/>
  <c r="K537" i="2"/>
  <c r="N421" i="1"/>
  <c r="N419" i="1" s="1"/>
  <c r="O419" i="1" s="1"/>
  <c r="K576" i="1"/>
  <c r="P261" i="1"/>
  <c r="P347" i="1"/>
  <c r="O424" i="1"/>
  <c r="L31" i="1"/>
  <c r="P315" i="1"/>
  <c r="O249" i="1"/>
  <c r="O217" i="1"/>
  <c r="K522" i="2"/>
  <c r="O152" i="2"/>
  <c r="I64" i="2"/>
  <c r="K64" i="2" s="1"/>
  <c r="O330" i="2"/>
  <c r="L328" i="2"/>
  <c r="O328" i="2" s="1"/>
  <c r="M181" i="2"/>
  <c r="P181" i="2" s="1"/>
  <c r="P183" i="2"/>
  <c r="K236" i="1"/>
  <c r="O209" i="1"/>
  <c r="O300" i="2"/>
  <c r="L298" i="2"/>
  <c r="O298" i="2" s="1"/>
  <c r="P279" i="2"/>
  <c r="M277" i="2"/>
  <c r="P277" i="2" s="1"/>
  <c r="M447" i="2"/>
  <c r="P447" i="2" s="1"/>
  <c r="P449" i="2"/>
  <c r="M446" i="2"/>
  <c r="P9" i="2"/>
  <c r="P660" i="2"/>
  <c r="M657" i="2"/>
  <c r="M658" i="2"/>
  <c r="P658" i="2" s="1"/>
  <c r="L9" i="2"/>
  <c r="O12" i="2"/>
  <c r="N547" i="1"/>
  <c r="P547" i="1" s="1"/>
  <c r="L345" i="1"/>
  <c r="O345" i="1" s="1"/>
  <c r="O660" i="1"/>
  <c r="P469" i="1"/>
  <c r="K98" i="1"/>
  <c r="O279" i="1"/>
  <c r="O135" i="1"/>
  <c r="P88" i="1"/>
  <c r="M149" i="1"/>
  <c r="P149" i="1" s="1"/>
  <c r="O687" i="2"/>
  <c r="L685" i="2"/>
  <c r="O685" i="2" s="1"/>
  <c r="O391" i="2"/>
  <c r="L389" i="2"/>
  <c r="O389" i="2" s="1"/>
  <c r="N88" i="2"/>
  <c r="P88" i="2" s="1"/>
  <c r="M41" i="2"/>
  <c r="L261" i="1"/>
  <c r="O261" i="1" s="1"/>
  <c r="N53" i="2"/>
  <c r="P53" i="2" s="1"/>
  <c r="P55" i="2"/>
  <c r="N13" i="2"/>
  <c r="N11" i="2" s="1"/>
  <c r="N20" i="2"/>
  <c r="P528" i="2"/>
  <c r="M525" i="2"/>
  <c r="M526" i="2"/>
  <c r="P526" i="2" s="1"/>
  <c r="M33" i="2"/>
  <c r="M13" i="2" s="1"/>
  <c r="M16" i="2"/>
  <c r="P26" i="2"/>
  <c r="O90" i="2"/>
  <c r="L88" i="2"/>
  <c r="P68" i="1"/>
  <c r="N345" i="2"/>
  <c r="P345" i="2" s="1"/>
  <c r="P347" i="2"/>
  <c r="P15" i="2"/>
  <c r="M20" i="2"/>
  <c r="P23" i="2"/>
  <c r="M21" i="2"/>
  <c r="P21" i="2" s="1"/>
  <c r="K77" i="2"/>
  <c r="I65" i="2"/>
  <c r="K65" i="2" s="1"/>
  <c r="O23" i="2"/>
  <c r="N546" i="1"/>
  <c r="P546" i="1" s="1"/>
  <c r="O152" i="1"/>
  <c r="K669" i="1"/>
  <c r="N631" i="1"/>
  <c r="O631" i="1" s="1"/>
  <c r="O549" i="1"/>
  <c r="K675" i="1"/>
  <c r="M687" i="2"/>
  <c r="M688" i="2"/>
  <c r="P688" i="2" s="1"/>
  <c r="P690" i="2"/>
  <c r="O657" i="2"/>
  <c r="L655" i="2"/>
  <c r="O655" i="2" s="1"/>
  <c r="L181" i="2"/>
  <c r="O181" i="2" s="1"/>
  <c r="O183" i="2"/>
  <c r="L165" i="2"/>
  <c r="O167" i="2"/>
  <c r="P264" i="2"/>
  <c r="O21" i="2"/>
  <c r="N149" i="2"/>
  <c r="P149" i="2" s="1"/>
  <c r="P151" i="2"/>
  <c r="O55" i="2"/>
  <c r="L53" i="2"/>
  <c r="N657" i="1"/>
  <c r="N655" i="1" s="1"/>
  <c r="P655" i="1" s="1"/>
  <c r="K434" i="2"/>
  <c r="I418" i="2"/>
  <c r="K418" i="2" s="1"/>
  <c r="P631" i="2"/>
  <c r="M629" i="2"/>
  <c r="P629" i="2" s="1"/>
  <c r="P29" i="2"/>
  <c r="O347" i="2"/>
  <c r="J417" i="2"/>
  <c r="K417" i="2" s="1"/>
  <c r="K433" i="2"/>
  <c r="N9" i="2"/>
  <c r="O317" i="2"/>
  <c r="L315" i="2"/>
  <c r="O315" i="2" s="1"/>
  <c r="O121" i="2"/>
  <c r="L119" i="2"/>
  <c r="O119" i="2" s="1"/>
  <c r="N16" i="2"/>
  <c r="N24" i="2"/>
  <c r="P165" i="1"/>
  <c r="P634" i="1"/>
  <c r="N658" i="1"/>
  <c r="P658" i="1" s="1"/>
  <c r="P184" i="1"/>
  <c r="O690" i="1"/>
  <c r="P280" i="1"/>
  <c r="P404" i="1"/>
  <c r="M402" i="1"/>
  <c r="P402" i="1" s="1"/>
  <c r="P791" i="1"/>
  <c r="O330" i="1"/>
  <c r="K112" i="1"/>
  <c r="P467" i="1"/>
  <c r="M298" i="1"/>
  <c r="P298" i="1" s="1"/>
  <c r="N328" i="1"/>
  <c r="O328" i="1" s="1"/>
  <c r="K364" i="1"/>
  <c r="P90" i="1"/>
  <c r="J543" i="1"/>
  <c r="K543" i="1" s="1"/>
  <c r="K559" i="1"/>
  <c r="N687" i="1"/>
  <c r="N685" i="1" s="1"/>
  <c r="N66" i="1"/>
  <c r="O66" i="1" s="1"/>
  <c r="K785" i="1"/>
  <c r="O121" i="1"/>
  <c r="N788" i="1"/>
  <c r="P788" i="1" s="1"/>
  <c r="L315" i="1"/>
  <c r="O315" i="1" s="1"/>
  <c r="P168" i="1"/>
  <c r="P317" i="1"/>
  <c r="L402" i="1"/>
  <c r="O402" i="1" s="1"/>
  <c r="L119" i="1"/>
  <c r="O119" i="1" s="1"/>
  <c r="N789" i="1"/>
  <c r="P331" i="1"/>
  <c r="N525" i="1"/>
  <c r="P525" i="1" s="1"/>
  <c r="O528" i="1"/>
  <c r="L149" i="1"/>
  <c r="O149" i="1" s="1"/>
  <c r="P121" i="1"/>
  <c r="M119" i="1"/>
  <c r="P119" i="1" s="1"/>
  <c r="P263" i="1"/>
  <c r="N227" i="1"/>
  <c r="O68" i="1"/>
  <c r="O167" i="1"/>
  <c r="N33" i="1"/>
  <c r="K77" i="1"/>
  <c r="I65" i="1"/>
  <c r="K65" i="1" s="1"/>
  <c r="P55" i="1"/>
  <c r="M53" i="1"/>
  <c r="P53" i="1" s="1"/>
  <c r="K99" i="1"/>
  <c r="J87" i="1"/>
  <c r="K87" i="1" s="1"/>
  <c r="O23" i="1"/>
  <c r="L20" i="1"/>
  <c r="L13" i="1"/>
  <c r="L11" i="1" s="1"/>
  <c r="L21" i="1"/>
  <c r="O21" i="1" s="1"/>
  <c r="O29" i="1"/>
  <c r="M345" i="1"/>
  <c r="P345" i="1" s="1"/>
  <c r="O90" i="1"/>
  <c r="L88" i="1"/>
  <c r="O88" i="1" s="1"/>
  <c r="O56" i="1"/>
  <c r="O44" i="1"/>
  <c r="K434" i="1"/>
  <c r="I418" i="1"/>
  <c r="K418" i="1" s="1"/>
  <c r="P526" i="1"/>
  <c r="O53" i="1"/>
  <c r="K76" i="1"/>
  <c r="I64" i="1"/>
  <c r="K64" i="1" s="1"/>
  <c r="O55" i="1"/>
  <c r="P26" i="1"/>
  <c r="M16" i="1"/>
  <c r="M14" i="1" s="1"/>
  <c r="O41" i="1"/>
  <c r="M13" i="1"/>
  <c r="P23" i="1"/>
  <c r="M20" i="1"/>
  <c r="O12" i="1"/>
  <c r="L9" i="1"/>
  <c r="O15" i="1"/>
  <c r="O26" i="1"/>
  <c r="L16" i="1"/>
  <c r="P19" i="1"/>
  <c r="K433" i="1"/>
  <c r="I417" i="1"/>
  <c r="K417" i="1" s="1"/>
  <c r="N24" i="1"/>
  <c r="P24" i="1" s="1"/>
  <c r="N16" i="1"/>
  <c r="N14" i="1" s="1"/>
  <c r="M685" i="1"/>
  <c r="O300" i="1"/>
  <c r="L298" i="1"/>
  <c r="O298" i="1" s="1"/>
  <c r="O467" i="1"/>
  <c r="O469" i="1"/>
  <c r="P330" i="1"/>
  <c r="M328" i="1"/>
  <c r="M277" i="1"/>
  <c r="P277" i="1" s="1"/>
  <c r="I164" i="1"/>
  <c r="K164" i="1" s="1"/>
  <c r="K174" i="1"/>
  <c r="L685" i="1"/>
  <c r="N9" i="1"/>
  <c r="P15" i="1"/>
  <c r="M9" i="1"/>
  <c r="N181" i="1"/>
  <c r="P181" i="1" s="1"/>
  <c r="P183" i="1"/>
  <c r="N20" i="1"/>
  <c r="N18" i="1" s="1"/>
  <c r="N8" i="14" l="1"/>
  <c r="P277" i="17"/>
  <c r="P24" i="20"/>
  <c r="P16" i="18"/>
  <c r="L28" i="21"/>
  <c r="O28" i="21" s="1"/>
  <c r="O41" i="17"/>
  <c r="P546" i="10"/>
  <c r="O345" i="22"/>
  <c r="N10" i="22"/>
  <c r="N8" i="22" s="1"/>
  <c r="N37" i="20"/>
  <c r="L28" i="22"/>
  <c r="O28" i="22" s="1"/>
  <c r="M14" i="22"/>
  <c r="P14" i="22" s="1"/>
  <c r="O41" i="18"/>
  <c r="P181" i="22"/>
  <c r="O16" i="21"/>
  <c r="P16" i="19"/>
  <c r="O24" i="20"/>
  <c r="O20" i="18"/>
  <c r="L14" i="21"/>
  <c r="O14" i="21" s="1"/>
  <c r="P88" i="22"/>
  <c r="M629" i="21"/>
  <c r="P629" i="21" s="1"/>
  <c r="O13" i="18"/>
  <c r="O88" i="20"/>
  <c r="O24" i="22"/>
  <c r="N37" i="22"/>
  <c r="L414" i="22"/>
  <c r="O414" i="22" s="1"/>
  <c r="P14" i="21"/>
  <c r="P16" i="21"/>
  <c r="N10" i="21"/>
  <c r="N8" i="21" s="1"/>
  <c r="O18" i="22"/>
  <c r="P33" i="22"/>
  <c r="M30" i="22"/>
  <c r="M31" i="22"/>
  <c r="P31" i="22" s="1"/>
  <c r="P20" i="22"/>
  <c r="M18" i="22"/>
  <c r="P18" i="22" s="1"/>
  <c r="O21" i="21"/>
  <c r="L11" i="22"/>
  <c r="O11" i="22" s="1"/>
  <c r="O13" i="22"/>
  <c r="L10" i="22"/>
  <c r="O41" i="22"/>
  <c r="L37" i="22"/>
  <c r="M544" i="22"/>
  <c r="P544" i="22" s="1"/>
  <c r="O20" i="22"/>
  <c r="P657" i="22"/>
  <c r="M655" i="22"/>
  <c r="P655" i="22" s="1"/>
  <c r="P419" i="22"/>
  <c r="P13" i="22"/>
  <c r="M10" i="22"/>
  <c r="M11" i="22"/>
  <c r="P11" i="22" s="1"/>
  <c r="P66" i="22"/>
  <c r="M37" i="22"/>
  <c r="O20" i="21"/>
  <c r="P546" i="21"/>
  <c r="M544" i="21"/>
  <c r="P544" i="21" s="1"/>
  <c r="L18" i="21"/>
  <c r="O18" i="21" s="1"/>
  <c r="P20" i="21"/>
  <c r="P687" i="21"/>
  <c r="M685" i="21"/>
  <c r="P685" i="21" s="1"/>
  <c r="L10" i="18"/>
  <c r="L8" i="18" s="1"/>
  <c r="P18" i="21"/>
  <c r="O24" i="17"/>
  <c r="L37" i="21"/>
  <c r="O37" i="21" s="1"/>
  <c r="P421" i="21"/>
  <c r="M419" i="21"/>
  <c r="P419" i="21" s="1"/>
  <c r="P21" i="21"/>
  <c r="O13" i="21"/>
  <c r="L10" i="21"/>
  <c r="L11" i="21"/>
  <c r="O11" i="21" s="1"/>
  <c r="M30" i="21"/>
  <c r="P33" i="21"/>
  <c r="M31" i="21"/>
  <c r="P31" i="21" s="1"/>
  <c r="M13" i="21"/>
  <c r="P657" i="21"/>
  <c r="M655" i="21"/>
  <c r="P655" i="21" s="1"/>
  <c r="P469" i="21"/>
  <c r="M467" i="21"/>
  <c r="P467" i="21" s="1"/>
  <c r="O9" i="21"/>
  <c r="L414" i="21"/>
  <c r="O414" i="21" s="1"/>
  <c r="M37" i="21"/>
  <c r="P37" i="21" s="1"/>
  <c r="P21" i="19"/>
  <c r="P24" i="18"/>
  <c r="M655" i="18"/>
  <c r="P655" i="18" s="1"/>
  <c r="P20" i="20"/>
  <c r="M18" i="20"/>
  <c r="P18" i="20" s="1"/>
  <c r="P421" i="20"/>
  <c r="M419" i="20"/>
  <c r="O30" i="20"/>
  <c r="L28" i="20"/>
  <c r="O28" i="20" s="1"/>
  <c r="P9" i="20"/>
  <c r="P687" i="20"/>
  <c r="M685" i="20"/>
  <c r="P685" i="20" s="1"/>
  <c r="O13" i="20"/>
  <c r="L10" i="20"/>
  <c r="L8" i="20" s="1"/>
  <c r="K226" i="20"/>
  <c r="I180" i="20"/>
  <c r="K180" i="20" s="1"/>
  <c r="O21" i="20"/>
  <c r="M37" i="20"/>
  <c r="N10" i="20"/>
  <c r="N8" i="20" s="1"/>
  <c r="N11" i="20"/>
  <c r="O11" i="20" s="1"/>
  <c r="O20" i="20"/>
  <c r="P33" i="20"/>
  <c r="M30" i="20"/>
  <c r="M31" i="20"/>
  <c r="P31" i="20" s="1"/>
  <c r="O16" i="20"/>
  <c r="L14" i="20"/>
  <c r="L37" i="20"/>
  <c r="O37" i="20" s="1"/>
  <c r="O419" i="20"/>
  <c r="L414" i="20"/>
  <c r="O414" i="20" s="1"/>
  <c r="O9" i="20"/>
  <c r="N14" i="20"/>
  <c r="P14" i="20" s="1"/>
  <c r="P16" i="20"/>
  <c r="M13" i="20"/>
  <c r="O18" i="20"/>
  <c r="P165" i="16"/>
  <c r="P66" i="17"/>
  <c r="P24" i="17"/>
  <c r="P24" i="19"/>
  <c r="M37" i="19"/>
  <c r="P16" i="15"/>
  <c r="N10" i="15"/>
  <c r="N8" i="15" s="1"/>
  <c r="L14" i="16"/>
  <c r="O14" i="16" s="1"/>
  <c r="O24" i="19"/>
  <c r="P165" i="19"/>
  <c r="M14" i="19"/>
  <c r="P14" i="19" s="1"/>
  <c r="O30" i="19"/>
  <c r="L28" i="19"/>
  <c r="O28" i="19" s="1"/>
  <c r="L28" i="17"/>
  <c r="O28" i="17" s="1"/>
  <c r="P419" i="19"/>
  <c r="O20" i="19"/>
  <c r="O53" i="17"/>
  <c r="L414" i="19"/>
  <c r="O414" i="19" s="1"/>
  <c r="P546" i="18"/>
  <c r="M544" i="18"/>
  <c r="P544" i="18" s="1"/>
  <c r="M31" i="19"/>
  <c r="P31" i="19" s="1"/>
  <c r="M30" i="19"/>
  <c r="P33" i="19"/>
  <c r="P9" i="19"/>
  <c r="K226" i="19"/>
  <c r="I180" i="19"/>
  <c r="K180" i="19" s="1"/>
  <c r="O16" i="19"/>
  <c r="L14" i="19"/>
  <c r="O14" i="19" s="1"/>
  <c r="P446" i="19"/>
  <c r="M444" i="19"/>
  <c r="P444" i="19" s="1"/>
  <c r="L37" i="19"/>
  <c r="P657" i="19"/>
  <c r="M655" i="19"/>
  <c r="P655" i="19" s="1"/>
  <c r="N37" i="19"/>
  <c r="O53" i="19"/>
  <c r="L18" i="19"/>
  <c r="O18" i="19" s="1"/>
  <c r="O9" i="19"/>
  <c r="P687" i="19"/>
  <c r="M685" i="19"/>
  <c r="P685" i="19" s="1"/>
  <c r="P13" i="19"/>
  <c r="M11" i="19"/>
  <c r="M10" i="19"/>
  <c r="N37" i="17"/>
  <c r="L14" i="18"/>
  <c r="O14" i="18" s="1"/>
  <c r="O13" i="19"/>
  <c r="L10" i="19"/>
  <c r="P20" i="19"/>
  <c r="M18" i="19"/>
  <c r="P18" i="19" s="1"/>
  <c r="N10" i="19"/>
  <c r="N8" i="19" s="1"/>
  <c r="N11" i="19"/>
  <c r="O11" i="19" s="1"/>
  <c r="P119" i="18"/>
  <c r="P53" i="18"/>
  <c r="N37" i="18"/>
  <c r="O165" i="18"/>
  <c r="M419" i="18"/>
  <c r="P419" i="18" s="1"/>
  <c r="P421" i="18"/>
  <c r="P24" i="16"/>
  <c r="L28" i="18"/>
  <c r="O28" i="18" s="1"/>
  <c r="P788" i="18"/>
  <c r="M786" i="18"/>
  <c r="P786" i="18" s="1"/>
  <c r="O21" i="18"/>
  <c r="P21" i="18"/>
  <c r="M37" i="18"/>
  <c r="L37" i="18"/>
  <c r="P9" i="18"/>
  <c r="N10" i="18"/>
  <c r="N8" i="18" s="1"/>
  <c r="N11" i="18"/>
  <c r="O11" i="18" s="1"/>
  <c r="P33" i="18"/>
  <c r="M30" i="18"/>
  <c r="M31" i="18"/>
  <c r="P31" i="18" s="1"/>
  <c r="M13" i="18"/>
  <c r="P523" i="18"/>
  <c r="N18" i="18"/>
  <c r="O18" i="18" s="1"/>
  <c r="P20" i="18"/>
  <c r="K226" i="18"/>
  <c r="I180" i="18"/>
  <c r="K180" i="18" s="1"/>
  <c r="L414" i="18"/>
  <c r="P631" i="18"/>
  <c r="M629" i="18"/>
  <c r="P629" i="18" s="1"/>
  <c r="N414" i="18"/>
  <c r="P181" i="18"/>
  <c r="L28" i="16"/>
  <c r="O28" i="16" s="1"/>
  <c r="L10" i="16"/>
  <c r="L8" i="16" s="1"/>
  <c r="O165" i="17"/>
  <c r="L28" i="14"/>
  <c r="O28" i="14" s="1"/>
  <c r="L414" i="17"/>
  <c r="O414" i="17" s="1"/>
  <c r="P20" i="17"/>
  <c r="P687" i="17"/>
  <c r="M685" i="17"/>
  <c r="P685" i="17" s="1"/>
  <c r="M419" i="15"/>
  <c r="P419" i="15" s="1"/>
  <c r="P421" i="16"/>
  <c r="M37" i="17"/>
  <c r="M467" i="17"/>
  <c r="P467" i="17" s="1"/>
  <c r="P469" i="17"/>
  <c r="O16" i="17"/>
  <c r="L14" i="17"/>
  <c r="O14" i="17" s="1"/>
  <c r="N11" i="17"/>
  <c r="P421" i="17"/>
  <c r="M419" i="17"/>
  <c r="L37" i="17"/>
  <c r="O20" i="17"/>
  <c r="L18" i="17"/>
  <c r="O18" i="17" s="1"/>
  <c r="P446" i="17"/>
  <c r="M444" i="17"/>
  <c r="P444" i="17" s="1"/>
  <c r="N8" i="17"/>
  <c r="P261" i="14"/>
  <c r="P18" i="17"/>
  <c r="O21" i="17"/>
  <c r="P657" i="17"/>
  <c r="M655" i="17"/>
  <c r="P655" i="17" s="1"/>
  <c r="P9" i="17"/>
  <c r="M30" i="17"/>
  <c r="P33" i="17"/>
  <c r="M31" i="17"/>
  <c r="P31" i="17" s="1"/>
  <c r="M13" i="17"/>
  <c r="O13" i="17"/>
  <c r="L10" i="17"/>
  <c r="L11" i="17"/>
  <c r="K226" i="17"/>
  <c r="I180" i="17"/>
  <c r="K180" i="17" s="1"/>
  <c r="P20" i="3"/>
  <c r="O24" i="9"/>
  <c r="M14" i="16"/>
  <c r="P14" i="16" s="1"/>
  <c r="P687" i="16"/>
  <c r="M685" i="16"/>
  <c r="P685" i="16" s="1"/>
  <c r="M544" i="16"/>
  <c r="P544" i="16" s="1"/>
  <c r="O328" i="16"/>
  <c r="O345" i="16"/>
  <c r="M467" i="16"/>
  <c r="P467" i="16" s="1"/>
  <c r="P469" i="16"/>
  <c r="N10" i="16"/>
  <c r="N8" i="16" s="1"/>
  <c r="O13" i="16"/>
  <c r="K226" i="16"/>
  <c r="I180" i="16"/>
  <c r="K180" i="16" s="1"/>
  <c r="O53" i="16"/>
  <c r="L37" i="16"/>
  <c r="P41" i="16"/>
  <c r="M37" i="16"/>
  <c r="O9" i="16"/>
  <c r="O20" i="16"/>
  <c r="N18" i="16"/>
  <c r="O18" i="16" s="1"/>
  <c r="N37" i="16"/>
  <c r="P14" i="9"/>
  <c r="P21" i="16"/>
  <c r="P631" i="16"/>
  <c r="M629" i="16"/>
  <c r="P629" i="16" s="1"/>
  <c r="P13" i="16"/>
  <c r="M10" i="16"/>
  <c r="M11" i="16"/>
  <c r="O14" i="9"/>
  <c r="N11" i="16"/>
  <c r="O11" i="16" s="1"/>
  <c r="P33" i="16"/>
  <c r="M30" i="16"/>
  <c r="M31" i="16"/>
  <c r="P31" i="16" s="1"/>
  <c r="P20" i="16"/>
  <c r="M18" i="16"/>
  <c r="O444" i="16"/>
  <c r="L414" i="16"/>
  <c r="O414" i="16" s="1"/>
  <c r="N11" i="15"/>
  <c r="O11" i="15" s="1"/>
  <c r="K226" i="11"/>
  <c r="P149" i="13"/>
  <c r="O20" i="15"/>
  <c r="M467" i="15"/>
  <c r="P467" i="15" s="1"/>
  <c r="P469" i="15"/>
  <c r="P546" i="15"/>
  <c r="M544" i="15"/>
  <c r="P544" i="15" s="1"/>
  <c r="M14" i="13"/>
  <c r="P14" i="13" s="1"/>
  <c r="L18" i="15"/>
  <c r="O18" i="15" s="1"/>
  <c r="O30" i="15"/>
  <c r="L37" i="15"/>
  <c r="O37" i="15" s="1"/>
  <c r="O16" i="15"/>
  <c r="L14" i="15"/>
  <c r="O14" i="15" s="1"/>
  <c r="M30" i="15"/>
  <c r="P33" i="15"/>
  <c r="M31" i="15"/>
  <c r="P31" i="15" s="1"/>
  <c r="P53" i="12"/>
  <c r="P53" i="14"/>
  <c r="L414" i="15"/>
  <c r="O414" i="15" s="1"/>
  <c r="P9" i="15"/>
  <c r="M444" i="15"/>
  <c r="P446" i="15"/>
  <c r="I180" i="15"/>
  <c r="K180" i="15" s="1"/>
  <c r="K226" i="15"/>
  <c r="P13" i="15"/>
  <c r="M10" i="15"/>
  <c r="M11" i="15"/>
  <c r="O13" i="15"/>
  <c r="L10" i="15"/>
  <c r="O9" i="15"/>
  <c r="P20" i="15"/>
  <c r="M18" i="15"/>
  <c r="P18" i="15" s="1"/>
  <c r="M14" i="15"/>
  <c r="P14" i="15" s="1"/>
  <c r="M37" i="15"/>
  <c r="P37" i="15" s="1"/>
  <c r="P41" i="15"/>
  <c r="N37" i="14"/>
  <c r="P21" i="10"/>
  <c r="O20" i="11"/>
  <c r="L28" i="12"/>
  <c r="O28" i="12" s="1"/>
  <c r="O24" i="14"/>
  <c r="P24" i="13"/>
  <c r="P345" i="14"/>
  <c r="P24" i="14"/>
  <c r="O21" i="13"/>
  <c r="O16" i="13"/>
  <c r="O30" i="13"/>
  <c r="P419" i="14"/>
  <c r="O13" i="14"/>
  <c r="P9" i="14"/>
  <c r="P149" i="14"/>
  <c r="N11" i="14"/>
  <c r="O11" i="14" s="1"/>
  <c r="O16" i="14"/>
  <c r="L14" i="14"/>
  <c r="O14" i="14" s="1"/>
  <c r="P687" i="14"/>
  <c r="M685" i="14"/>
  <c r="P685" i="14" s="1"/>
  <c r="O9" i="14"/>
  <c r="O18" i="14"/>
  <c r="M37" i="14"/>
  <c r="P657" i="14"/>
  <c r="M655" i="14"/>
  <c r="P655" i="14" s="1"/>
  <c r="P18" i="14"/>
  <c r="O149" i="14"/>
  <c r="M544" i="14"/>
  <c r="P544" i="14" s="1"/>
  <c r="L37" i="14"/>
  <c r="O444" i="14"/>
  <c r="L414" i="14"/>
  <c r="O414" i="14" s="1"/>
  <c r="O20" i="14"/>
  <c r="L10" i="14"/>
  <c r="O10" i="14" s="1"/>
  <c r="P20" i="14"/>
  <c r="P16" i="14"/>
  <c r="M14" i="14"/>
  <c r="P14" i="14" s="1"/>
  <c r="M30" i="14"/>
  <c r="M31" i="14"/>
  <c r="P31" i="14" s="1"/>
  <c r="P33" i="14"/>
  <c r="M13" i="14"/>
  <c r="O328" i="12"/>
  <c r="N37" i="13"/>
  <c r="O11" i="13"/>
  <c r="P24" i="11"/>
  <c r="P21" i="13"/>
  <c r="O20" i="13"/>
  <c r="L10" i="13"/>
  <c r="L8" i="13" s="1"/>
  <c r="O345" i="13"/>
  <c r="P687" i="13"/>
  <c r="M685" i="13"/>
  <c r="P685" i="13" s="1"/>
  <c r="P41" i="12"/>
  <c r="L37" i="13"/>
  <c r="O21" i="10"/>
  <c r="N10" i="13"/>
  <c r="O13" i="13"/>
  <c r="L414" i="13"/>
  <c r="O414" i="13" s="1"/>
  <c r="O419" i="13"/>
  <c r="P419" i="13"/>
  <c r="I180" i="13"/>
  <c r="K180" i="13" s="1"/>
  <c r="K226" i="13"/>
  <c r="P33" i="13"/>
  <c r="M30" i="13"/>
  <c r="M31" i="13"/>
  <c r="P31" i="13" s="1"/>
  <c r="O30" i="11"/>
  <c r="P657" i="13"/>
  <c r="M655" i="13"/>
  <c r="M13" i="13"/>
  <c r="M37" i="13"/>
  <c r="P20" i="13"/>
  <c r="M18" i="13"/>
  <c r="P18" i="13" s="1"/>
  <c r="O18" i="13"/>
  <c r="P328" i="13"/>
  <c r="O328" i="13"/>
  <c r="P20" i="11"/>
  <c r="O16" i="12"/>
  <c r="N37" i="12"/>
  <c r="P446" i="12"/>
  <c r="M444" i="12"/>
  <c r="P444" i="12" s="1"/>
  <c r="L414" i="12"/>
  <c r="O414" i="12" s="1"/>
  <c r="M37" i="12"/>
  <c r="O9" i="12"/>
  <c r="L14" i="12"/>
  <c r="O345" i="12"/>
  <c r="O13" i="12"/>
  <c r="L10" i="12"/>
  <c r="P33" i="12"/>
  <c r="M30" i="12"/>
  <c r="M31" i="12"/>
  <c r="P31" i="12" s="1"/>
  <c r="P657" i="12"/>
  <c r="M655" i="12"/>
  <c r="P655" i="12" s="1"/>
  <c r="O20" i="6"/>
  <c r="M544" i="12"/>
  <c r="P544" i="12" s="1"/>
  <c r="L37" i="12"/>
  <c r="O688" i="1"/>
  <c r="P13" i="12"/>
  <c r="M10" i="12"/>
  <c r="M11" i="12"/>
  <c r="P11" i="12" s="1"/>
  <c r="O20" i="12"/>
  <c r="L18" i="12"/>
  <c r="O18" i="12" s="1"/>
  <c r="P181" i="12"/>
  <c r="P20" i="12"/>
  <c r="P24" i="12"/>
  <c r="P421" i="12"/>
  <c r="M419" i="12"/>
  <c r="P149" i="12"/>
  <c r="O11" i="12"/>
  <c r="P687" i="12"/>
  <c r="M685" i="12"/>
  <c r="P685" i="12" s="1"/>
  <c r="O53" i="8"/>
  <c r="P24" i="10"/>
  <c r="O11" i="11"/>
  <c r="N14" i="12"/>
  <c r="P14" i="12" s="1"/>
  <c r="P16" i="12"/>
  <c r="P18" i="12"/>
  <c r="K226" i="12"/>
  <c r="I180" i="12"/>
  <c r="K180" i="12" s="1"/>
  <c r="N10" i="12"/>
  <c r="N8" i="12" s="1"/>
  <c r="P18" i="10"/>
  <c r="L28" i="9"/>
  <c r="O28" i="9" s="1"/>
  <c r="I180" i="2"/>
  <c r="K180" i="2" s="1"/>
  <c r="L37" i="11"/>
  <c r="P21" i="11"/>
  <c r="M544" i="11"/>
  <c r="P544" i="11" s="1"/>
  <c r="P546" i="11"/>
  <c r="P421" i="11"/>
  <c r="M419" i="11"/>
  <c r="O16" i="11"/>
  <c r="O9" i="11"/>
  <c r="P469" i="11"/>
  <c r="M467" i="11"/>
  <c r="P467" i="11" s="1"/>
  <c r="O28" i="11"/>
  <c r="P33" i="8"/>
  <c r="P41" i="10"/>
  <c r="O13" i="11"/>
  <c r="L10" i="11"/>
  <c r="L8" i="11" s="1"/>
  <c r="L18" i="11"/>
  <c r="O18" i="11" s="1"/>
  <c r="M37" i="11"/>
  <c r="O88" i="11"/>
  <c r="N10" i="11"/>
  <c r="N8" i="11" s="1"/>
  <c r="N10" i="9"/>
  <c r="N8" i="9" s="1"/>
  <c r="M31" i="11"/>
  <c r="P31" i="11" s="1"/>
  <c r="M30" i="11"/>
  <c r="P33" i="11"/>
  <c r="M13" i="11"/>
  <c r="P16" i="11"/>
  <c r="N14" i="11"/>
  <c r="O14" i="11" s="1"/>
  <c r="O24" i="11"/>
  <c r="O419" i="11"/>
  <c r="L414" i="11"/>
  <c r="O414" i="11" s="1"/>
  <c r="P18" i="11"/>
  <c r="N37" i="11"/>
  <c r="P20" i="10"/>
  <c r="O24" i="10"/>
  <c r="P687" i="10"/>
  <c r="M685" i="10"/>
  <c r="P685" i="10" s="1"/>
  <c r="N37" i="10"/>
  <c r="P14" i="10"/>
  <c r="P16" i="10"/>
  <c r="N11" i="9"/>
  <c r="M13" i="8"/>
  <c r="M11" i="8" s="1"/>
  <c r="M30" i="8"/>
  <c r="P30" i="8" s="1"/>
  <c r="L37" i="10"/>
  <c r="P33" i="10"/>
  <c r="M30" i="10"/>
  <c r="M13" i="10"/>
  <c r="M31" i="10"/>
  <c r="P31" i="10" s="1"/>
  <c r="O13" i="10"/>
  <c r="L10" i="10"/>
  <c r="L11" i="10"/>
  <c r="O11" i="10" s="1"/>
  <c r="O14" i="6"/>
  <c r="O20" i="10"/>
  <c r="L18" i="10"/>
  <c r="O18" i="10" s="1"/>
  <c r="O328" i="10"/>
  <c r="P9" i="10"/>
  <c r="P446" i="10"/>
  <c r="M444" i="10"/>
  <c r="O41" i="9"/>
  <c r="P41" i="9"/>
  <c r="P88" i="10"/>
  <c r="M37" i="10"/>
  <c r="P37" i="10" s="1"/>
  <c r="P21" i="8"/>
  <c r="O16" i="10"/>
  <c r="L14" i="10"/>
  <c r="O14" i="10" s="1"/>
  <c r="L414" i="10"/>
  <c r="O414" i="10" s="1"/>
  <c r="O419" i="10"/>
  <c r="O30" i="10"/>
  <c r="L28" i="10"/>
  <c r="O28" i="10" s="1"/>
  <c r="P345" i="10"/>
  <c r="N10" i="10"/>
  <c r="N8" i="10" s="1"/>
  <c r="P132" i="1"/>
  <c r="M419" i="6"/>
  <c r="P419" i="6" s="1"/>
  <c r="P181" i="7"/>
  <c r="O24" i="2"/>
  <c r="M37" i="9"/>
  <c r="P37" i="9" s="1"/>
  <c r="L28" i="8"/>
  <c r="O28" i="8" s="1"/>
  <c r="O21" i="7"/>
  <c r="L10" i="6"/>
  <c r="L8" i="6" s="1"/>
  <c r="L11" i="6"/>
  <c r="O11" i="6" s="1"/>
  <c r="I180" i="6"/>
  <c r="K180" i="6" s="1"/>
  <c r="O21" i="9"/>
  <c r="P16" i="9"/>
  <c r="P13" i="9"/>
  <c r="M10" i="9"/>
  <c r="M11" i="9"/>
  <c r="M31" i="4"/>
  <c r="P31" i="4" s="1"/>
  <c r="O24" i="8"/>
  <c r="M14" i="8"/>
  <c r="P14" i="8" s="1"/>
  <c r="P687" i="9"/>
  <c r="M685" i="9"/>
  <c r="P685" i="9" s="1"/>
  <c r="O16" i="9"/>
  <c r="K226" i="9"/>
  <c r="I180" i="9"/>
  <c r="K180" i="9" s="1"/>
  <c r="P20" i="9"/>
  <c r="M18" i="9"/>
  <c r="P18" i="9" s="1"/>
  <c r="L414" i="9"/>
  <c r="O414" i="9" s="1"/>
  <c r="O419" i="9"/>
  <c r="P419" i="9"/>
  <c r="P33" i="9"/>
  <c r="M30" i="9"/>
  <c r="M31" i="9"/>
  <c r="P31" i="9" s="1"/>
  <c r="O13" i="9"/>
  <c r="L10" i="9"/>
  <c r="L11" i="9"/>
  <c r="L37" i="9"/>
  <c r="O37" i="9" s="1"/>
  <c r="P631" i="7"/>
  <c r="O20" i="9"/>
  <c r="L18" i="9"/>
  <c r="O18" i="9" s="1"/>
  <c r="P24" i="7"/>
  <c r="P53" i="8"/>
  <c r="O149" i="6"/>
  <c r="O16" i="8"/>
  <c r="K226" i="7"/>
  <c r="O16" i="6"/>
  <c r="O21" i="8"/>
  <c r="P687" i="8"/>
  <c r="M685" i="8"/>
  <c r="P685" i="8" s="1"/>
  <c r="O13" i="8"/>
  <c r="L10" i="8"/>
  <c r="L11" i="8"/>
  <c r="P446" i="8"/>
  <c r="M444" i="8"/>
  <c r="K226" i="8"/>
  <c r="I180" i="8"/>
  <c r="K180" i="8" s="1"/>
  <c r="L37" i="8"/>
  <c r="O37" i="8" s="1"/>
  <c r="O20" i="8"/>
  <c r="L18" i="8"/>
  <c r="O18" i="8" s="1"/>
  <c r="O419" i="8"/>
  <c r="L414" i="8"/>
  <c r="O414" i="8" s="1"/>
  <c r="M37" i="8"/>
  <c r="P37" i="8" s="1"/>
  <c r="P657" i="8"/>
  <c r="M655" i="8"/>
  <c r="P655" i="8" s="1"/>
  <c r="N8" i="8"/>
  <c r="P20" i="8"/>
  <c r="M18" i="8"/>
  <c r="P18" i="8" s="1"/>
  <c r="N11" i="8"/>
  <c r="O446" i="1"/>
  <c r="O16" i="2"/>
  <c r="L10" i="4"/>
  <c r="L8" i="4" s="1"/>
  <c r="O261" i="6"/>
  <c r="P20" i="7"/>
  <c r="P469" i="3"/>
  <c r="L14" i="5"/>
  <c r="O14" i="5" s="1"/>
  <c r="O16" i="7"/>
  <c r="L14" i="7"/>
  <c r="O14" i="7" s="1"/>
  <c r="L37" i="7"/>
  <c r="N10" i="7"/>
  <c r="N8" i="7" s="1"/>
  <c r="M467" i="7"/>
  <c r="P467" i="7" s="1"/>
  <c r="P469" i="7"/>
  <c r="O24" i="4"/>
  <c r="P546" i="7"/>
  <c r="O629" i="7"/>
  <c r="P629" i="7"/>
  <c r="O13" i="7"/>
  <c r="L10" i="7"/>
  <c r="L11" i="7"/>
  <c r="O11" i="7" s="1"/>
  <c r="N28" i="7"/>
  <c r="O28" i="7" s="1"/>
  <c r="O30" i="7"/>
  <c r="P9" i="7"/>
  <c r="M30" i="7"/>
  <c r="P33" i="7"/>
  <c r="M31" i="7"/>
  <c r="P31" i="7" s="1"/>
  <c r="O20" i="7"/>
  <c r="L18" i="7"/>
  <c r="O18" i="7" s="1"/>
  <c r="P16" i="7"/>
  <c r="M14" i="7"/>
  <c r="P14" i="7" s="1"/>
  <c r="P421" i="7"/>
  <c r="M419" i="7"/>
  <c r="M37" i="7"/>
  <c r="N37" i="7"/>
  <c r="L414" i="7"/>
  <c r="O414" i="7" s="1"/>
  <c r="M13" i="7"/>
  <c r="P544" i="7"/>
  <c r="O544" i="7"/>
  <c r="O30" i="6"/>
  <c r="L28" i="6"/>
  <c r="O28" i="6" s="1"/>
  <c r="P53" i="7"/>
  <c r="L37" i="6"/>
  <c r="O13" i="4"/>
  <c r="O11" i="5"/>
  <c r="N10" i="5"/>
  <c r="N8" i="5" s="1"/>
  <c r="M14" i="6"/>
  <c r="P14" i="6" s="1"/>
  <c r="P11" i="5"/>
  <c r="N37" i="6"/>
  <c r="O277" i="5"/>
  <c r="M37" i="6"/>
  <c r="P298" i="6"/>
  <c r="O21" i="4"/>
  <c r="P24" i="4"/>
  <c r="L414" i="4"/>
  <c r="O414" i="4" s="1"/>
  <c r="M14" i="5"/>
  <c r="P14" i="5" s="1"/>
  <c r="P469" i="6"/>
  <c r="M467" i="6"/>
  <c r="P467" i="6" s="1"/>
  <c r="P24" i="6"/>
  <c r="L414" i="6"/>
  <c r="O414" i="6" s="1"/>
  <c r="P33" i="6"/>
  <c r="M30" i="6"/>
  <c r="M31" i="6"/>
  <c r="P31" i="6" s="1"/>
  <c r="N18" i="6"/>
  <c r="O18" i="6" s="1"/>
  <c r="O9" i="6"/>
  <c r="P13" i="6"/>
  <c r="M10" i="6"/>
  <c r="M11" i="6"/>
  <c r="P11" i="6" s="1"/>
  <c r="P687" i="6"/>
  <c r="M685" i="6"/>
  <c r="P685" i="6" s="1"/>
  <c r="P20" i="6"/>
  <c r="M18" i="6"/>
  <c r="P657" i="6"/>
  <c r="M655" i="6"/>
  <c r="P655" i="6" s="1"/>
  <c r="M37" i="5"/>
  <c r="N10" i="6"/>
  <c r="O13" i="6"/>
  <c r="P631" i="6"/>
  <c r="M629" i="6"/>
  <c r="P9" i="6"/>
  <c r="P469" i="4"/>
  <c r="M467" i="4"/>
  <c r="P467" i="4" s="1"/>
  <c r="O88" i="5"/>
  <c r="P298" i="5"/>
  <c r="M544" i="3"/>
  <c r="P544" i="3" s="1"/>
  <c r="O685" i="1"/>
  <c r="N37" i="5"/>
  <c r="M30" i="4"/>
  <c r="M28" i="4" s="1"/>
  <c r="M13" i="4"/>
  <c r="M11" i="4" s="1"/>
  <c r="O261" i="5"/>
  <c r="O419" i="5"/>
  <c r="L414" i="5"/>
  <c r="O414" i="5" s="1"/>
  <c r="L10" i="5"/>
  <c r="O13" i="5"/>
  <c r="K226" i="5"/>
  <c r="I180" i="5"/>
  <c r="K180" i="5" s="1"/>
  <c r="P421" i="5"/>
  <c r="M419" i="5"/>
  <c r="P20" i="5"/>
  <c r="M18" i="5"/>
  <c r="L37" i="5"/>
  <c r="P9" i="5"/>
  <c r="P13" i="5"/>
  <c r="M10" i="5"/>
  <c r="N18" i="5"/>
  <c r="O18" i="5" s="1"/>
  <c r="O20" i="5"/>
  <c r="O41" i="5"/>
  <c r="P24" i="5"/>
  <c r="L28" i="5"/>
  <c r="O28" i="5" s="1"/>
  <c r="O9" i="5"/>
  <c r="M30" i="5"/>
  <c r="P33" i="5"/>
  <c r="M31" i="5"/>
  <c r="P31" i="5" s="1"/>
  <c r="P181" i="4"/>
  <c r="N444" i="1"/>
  <c r="P444" i="1" s="1"/>
  <c r="N37" i="4"/>
  <c r="O18" i="4"/>
  <c r="P631" i="1"/>
  <c r="N10" i="4"/>
  <c r="N8" i="4" s="1"/>
  <c r="N11" i="4"/>
  <c r="L28" i="3"/>
  <c r="O28" i="3" s="1"/>
  <c r="O30" i="3"/>
  <c r="L28" i="2"/>
  <c r="O28" i="2" s="1"/>
  <c r="O9" i="4"/>
  <c r="O31" i="4"/>
  <c r="N37" i="3"/>
  <c r="M18" i="4"/>
  <c r="P18" i="4" s="1"/>
  <c r="P20" i="4"/>
  <c r="N28" i="4"/>
  <c r="O30" i="4"/>
  <c r="P88" i="4"/>
  <c r="M37" i="4"/>
  <c r="O20" i="4"/>
  <c r="L10" i="2"/>
  <c r="L8" i="2" s="1"/>
  <c r="L37" i="4"/>
  <c r="O16" i="4"/>
  <c r="L14" i="4"/>
  <c r="O14" i="4" s="1"/>
  <c r="M14" i="4"/>
  <c r="P14" i="4" s="1"/>
  <c r="O655" i="4"/>
  <c r="P9" i="4"/>
  <c r="O345" i="2"/>
  <c r="N629" i="1"/>
  <c r="P629" i="1" s="1"/>
  <c r="O447" i="1"/>
  <c r="O165" i="2"/>
  <c r="N10" i="3"/>
  <c r="N8" i="3" s="1"/>
  <c r="M18" i="3"/>
  <c r="P18" i="3" s="1"/>
  <c r="O18" i="3"/>
  <c r="O546" i="1"/>
  <c r="K593" i="1"/>
  <c r="O88" i="3"/>
  <c r="O41" i="3"/>
  <c r="P41" i="3"/>
  <c r="O53" i="3"/>
  <c r="L37" i="3"/>
  <c r="P13" i="3"/>
  <c r="M10" i="3"/>
  <c r="P16" i="3"/>
  <c r="M14" i="3"/>
  <c r="P14" i="3" s="1"/>
  <c r="O13" i="3"/>
  <c r="L10" i="3"/>
  <c r="K226" i="1"/>
  <c r="P685" i="1"/>
  <c r="O547" i="1"/>
  <c r="N544" i="1"/>
  <c r="P544" i="1" s="1"/>
  <c r="O20" i="2"/>
  <c r="M37" i="3"/>
  <c r="M30" i="3"/>
  <c r="P33" i="3"/>
  <c r="M31" i="3"/>
  <c r="P31" i="3" s="1"/>
  <c r="O20" i="3"/>
  <c r="N414" i="3"/>
  <c r="P467" i="3"/>
  <c r="L11" i="3"/>
  <c r="O11" i="3" s="1"/>
  <c r="O24" i="3"/>
  <c r="O9" i="3"/>
  <c r="O16" i="3"/>
  <c r="L14" i="3"/>
  <c r="O14" i="3" s="1"/>
  <c r="P657" i="3"/>
  <c r="M655" i="3"/>
  <c r="P9" i="3"/>
  <c r="K226" i="3"/>
  <c r="I180" i="3"/>
  <c r="K180" i="3" s="1"/>
  <c r="L414" i="3"/>
  <c r="P24" i="3"/>
  <c r="M11" i="3"/>
  <c r="P11" i="3" s="1"/>
  <c r="P419" i="1"/>
  <c r="P24" i="2"/>
  <c r="P421" i="1"/>
  <c r="P470" i="1"/>
  <c r="O632" i="1"/>
  <c r="O657" i="1"/>
  <c r="N18" i="2"/>
  <c r="O18" i="2" s="1"/>
  <c r="M444" i="2"/>
  <c r="P444" i="2" s="1"/>
  <c r="P446" i="2"/>
  <c r="P657" i="1"/>
  <c r="N14" i="2"/>
  <c r="O14" i="2" s="1"/>
  <c r="O421" i="1"/>
  <c r="O88" i="2"/>
  <c r="M10" i="2"/>
  <c r="P13" i="2"/>
  <c r="M11" i="2"/>
  <c r="P11" i="2" s="1"/>
  <c r="P687" i="2"/>
  <c r="M685" i="2"/>
  <c r="P685" i="2" s="1"/>
  <c r="O16" i="1"/>
  <c r="O788" i="1"/>
  <c r="O655" i="1"/>
  <c r="N37" i="2"/>
  <c r="P657" i="2"/>
  <c r="M655" i="2"/>
  <c r="P655" i="2" s="1"/>
  <c r="P525" i="2"/>
  <c r="M523" i="2"/>
  <c r="P41" i="2"/>
  <c r="M37" i="2"/>
  <c r="P14" i="1"/>
  <c r="O53" i="2"/>
  <c r="L37" i="2"/>
  <c r="L414" i="2"/>
  <c r="O414" i="2" s="1"/>
  <c r="O149" i="2"/>
  <c r="P20" i="2"/>
  <c r="M18" i="2"/>
  <c r="P16" i="2"/>
  <c r="N10" i="2"/>
  <c r="O11" i="2"/>
  <c r="P33" i="2"/>
  <c r="M30" i="2"/>
  <c r="M31" i="2"/>
  <c r="P31" i="2" s="1"/>
  <c r="M14" i="2"/>
  <c r="P328" i="1"/>
  <c r="O525" i="1"/>
  <c r="P66" i="1"/>
  <c r="O24" i="1"/>
  <c r="O13" i="2"/>
  <c r="O9" i="2"/>
  <c r="N786" i="1"/>
  <c r="P786" i="1" s="1"/>
  <c r="O658" i="1"/>
  <c r="N523" i="1"/>
  <c r="O523" i="1" s="1"/>
  <c r="M37" i="1"/>
  <c r="P687" i="1"/>
  <c r="O181" i="1"/>
  <c r="N31" i="1"/>
  <c r="P33" i="1"/>
  <c r="N30" i="1"/>
  <c r="O33" i="1"/>
  <c r="N13" i="1"/>
  <c r="P13" i="1" s="1"/>
  <c r="P789" i="1"/>
  <c r="O789" i="1"/>
  <c r="L414" i="1"/>
  <c r="M414" i="1"/>
  <c r="O687" i="1"/>
  <c r="O9" i="1"/>
  <c r="P20" i="1"/>
  <c r="P16" i="1"/>
  <c r="N37" i="1"/>
  <c r="P9" i="1"/>
  <c r="L14" i="1"/>
  <c r="O14" i="1" s="1"/>
  <c r="M10" i="1"/>
  <c r="M8" i="1" s="1"/>
  <c r="M11" i="1"/>
  <c r="L10" i="1"/>
  <c r="O20" i="1"/>
  <c r="L18" i="1"/>
  <c r="O18" i="1" s="1"/>
  <c r="M18" i="1"/>
  <c r="P18" i="1" s="1"/>
  <c r="L37" i="1"/>
  <c r="P10" i="15" l="1"/>
  <c r="P37" i="20"/>
  <c r="P37" i="22"/>
  <c r="O37" i="22"/>
  <c r="O10" i="21"/>
  <c r="M414" i="22"/>
  <c r="P414" i="22" s="1"/>
  <c r="O10" i="22"/>
  <c r="L8" i="22"/>
  <c r="O8" i="22" s="1"/>
  <c r="O10" i="15"/>
  <c r="P10" i="22"/>
  <c r="M8" i="22"/>
  <c r="P8" i="22" s="1"/>
  <c r="P30" i="22"/>
  <c r="M28" i="22"/>
  <c r="P28" i="22" s="1"/>
  <c r="L8" i="21"/>
  <c r="O8" i="21" s="1"/>
  <c r="O8" i="18"/>
  <c r="P30" i="21"/>
  <c r="M28" i="21"/>
  <c r="P28" i="21" s="1"/>
  <c r="M10" i="21"/>
  <c r="P13" i="21"/>
  <c r="M11" i="21"/>
  <c r="P11" i="21" s="1"/>
  <c r="M414" i="21"/>
  <c r="P414" i="21" s="1"/>
  <c r="P37" i="19"/>
  <c r="O8" i="20"/>
  <c r="O37" i="17"/>
  <c r="O14" i="20"/>
  <c r="O10" i="20"/>
  <c r="P13" i="20"/>
  <c r="M10" i="20"/>
  <c r="M11" i="20"/>
  <c r="P11" i="20" s="1"/>
  <c r="P30" i="20"/>
  <c r="M28" i="20"/>
  <c r="P28" i="20" s="1"/>
  <c r="M414" i="20"/>
  <c r="P414" i="20" s="1"/>
  <c r="P419" i="20"/>
  <c r="P37" i="17"/>
  <c r="P10" i="19"/>
  <c r="O10" i="19"/>
  <c r="P11" i="19"/>
  <c r="O37" i="19"/>
  <c r="P30" i="19"/>
  <c r="M28" i="19"/>
  <c r="P28" i="19" s="1"/>
  <c r="M414" i="19"/>
  <c r="P414" i="19" s="1"/>
  <c r="L8" i="19"/>
  <c r="O8" i="19" s="1"/>
  <c r="M8" i="19"/>
  <c r="P8" i="19" s="1"/>
  <c r="O11" i="17"/>
  <c r="O37" i="18"/>
  <c r="P37" i="18"/>
  <c r="O10" i="16"/>
  <c r="M414" i="18"/>
  <c r="P414" i="18" s="1"/>
  <c r="P18" i="18"/>
  <c r="P13" i="18"/>
  <c r="M10" i="18"/>
  <c r="M11" i="18"/>
  <c r="P11" i="18" s="1"/>
  <c r="O414" i="18"/>
  <c r="O10" i="18"/>
  <c r="P30" i="18"/>
  <c r="M28" i="18"/>
  <c r="P28" i="18" s="1"/>
  <c r="P18" i="16"/>
  <c r="O10" i="17"/>
  <c r="L8" i="17"/>
  <c r="O8" i="17" s="1"/>
  <c r="P11" i="15"/>
  <c r="M414" i="17"/>
  <c r="P414" i="17" s="1"/>
  <c r="P419" i="17"/>
  <c r="P13" i="17"/>
  <c r="M10" i="17"/>
  <c r="M11" i="17"/>
  <c r="P11" i="17" s="1"/>
  <c r="P30" i="17"/>
  <c r="M28" i="17"/>
  <c r="P28" i="17" s="1"/>
  <c r="P37" i="16"/>
  <c r="O37" i="16"/>
  <c r="P10" i="16"/>
  <c r="M8" i="16"/>
  <c r="P8" i="16" s="1"/>
  <c r="M414" i="16"/>
  <c r="P414" i="16" s="1"/>
  <c r="P11" i="16"/>
  <c r="P30" i="16"/>
  <c r="M28" i="16"/>
  <c r="P28" i="16" s="1"/>
  <c r="O8" i="16"/>
  <c r="P37" i="5"/>
  <c r="O37" i="10"/>
  <c r="P30" i="15"/>
  <c r="M28" i="15"/>
  <c r="P28" i="15" s="1"/>
  <c r="P444" i="15"/>
  <c r="M414" i="15"/>
  <c r="P414" i="15" s="1"/>
  <c r="L8" i="15"/>
  <c r="O8" i="15" s="1"/>
  <c r="M8" i="15"/>
  <c r="P8" i="15" s="1"/>
  <c r="O37" i="14"/>
  <c r="P37" i="14"/>
  <c r="L8" i="14"/>
  <c r="O8" i="14" s="1"/>
  <c r="O37" i="13"/>
  <c r="M414" i="14"/>
  <c r="P414" i="14" s="1"/>
  <c r="P30" i="14"/>
  <c r="M28" i="14"/>
  <c r="P28" i="14" s="1"/>
  <c r="P37" i="13"/>
  <c r="P13" i="14"/>
  <c r="M10" i="14"/>
  <c r="M11" i="14"/>
  <c r="P11" i="14" s="1"/>
  <c r="O10" i="13"/>
  <c r="P30" i="13"/>
  <c r="M28" i="13"/>
  <c r="P28" i="13" s="1"/>
  <c r="N8" i="13"/>
  <c r="O8" i="13" s="1"/>
  <c r="P37" i="2"/>
  <c r="P37" i="12"/>
  <c r="P655" i="13"/>
  <c r="M414" i="13"/>
  <c r="P414" i="13" s="1"/>
  <c r="O37" i="12"/>
  <c r="P13" i="13"/>
  <c r="M10" i="13"/>
  <c r="M11" i="13"/>
  <c r="P11" i="13" s="1"/>
  <c r="P14" i="11"/>
  <c r="O10" i="12"/>
  <c r="P10" i="12"/>
  <c r="M8" i="12"/>
  <c r="P8" i="12" s="1"/>
  <c r="P419" i="12"/>
  <c r="M414" i="12"/>
  <c r="P414" i="12" s="1"/>
  <c r="O14" i="12"/>
  <c r="O8" i="11"/>
  <c r="P30" i="12"/>
  <c r="M28" i="12"/>
  <c r="P28" i="12" s="1"/>
  <c r="L8" i="12"/>
  <c r="O8" i="12" s="1"/>
  <c r="O37" i="11"/>
  <c r="M28" i="8"/>
  <c r="P28" i="8" s="1"/>
  <c r="M11" i="11"/>
  <c r="P11" i="11" s="1"/>
  <c r="M10" i="11"/>
  <c r="P13" i="11"/>
  <c r="P37" i="11"/>
  <c r="P30" i="11"/>
  <c r="M28" i="11"/>
  <c r="P28" i="11" s="1"/>
  <c r="O10" i="11"/>
  <c r="M414" i="11"/>
  <c r="P414" i="11" s="1"/>
  <c r="P419" i="11"/>
  <c r="M10" i="8"/>
  <c r="M8" i="8" s="1"/>
  <c r="P8" i="8" s="1"/>
  <c r="P11" i="9"/>
  <c r="P13" i="8"/>
  <c r="O11" i="9"/>
  <c r="P444" i="10"/>
  <c r="M414" i="10"/>
  <c r="P414" i="10" s="1"/>
  <c r="M10" i="10"/>
  <c r="P13" i="10"/>
  <c r="M11" i="10"/>
  <c r="P11" i="10" s="1"/>
  <c r="P30" i="10"/>
  <c r="M28" i="10"/>
  <c r="P28" i="10" s="1"/>
  <c r="P10" i="5"/>
  <c r="O10" i="10"/>
  <c r="L8" i="10"/>
  <c r="O8" i="10" s="1"/>
  <c r="O10" i="6"/>
  <c r="O10" i="9"/>
  <c r="L8" i="9"/>
  <c r="O8" i="9" s="1"/>
  <c r="M414" i="9"/>
  <c r="P414" i="9" s="1"/>
  <c r="P30" i="9"/>
  <c r="M28" i="9"/>
  <c r="P28" i="9" s="1"/>
  <c r="P10" i="9"/>
  <c r="M8" i="9"/>
  <c r="P8" i="9" s="1"/>
  <c r="O11" i="8"/>
  <c r="O10" i="4"/>
  <c r="P11" i="8"/>
  <c r="P444" i="8"/>
  <c r="M414" i="8"/>
  <c r="P414" i="8" s="1"/>
  <c r="O37" i="6"/>
  <c r="O10" i="8"/>
  <c r="L8" i="8"/>
  <c r="O8" i="8" s="1"/>
  <c r="M10" i="4"/>
  <c r="P10" i="4" s="1"/>
  <c r="O8" i="4"/>
  <c r="O10" i="5"/>
  <c r="O37" i="7"/>
  <c r="N8" i="6"/>
  <c r="O8" i="6" s="1"/>
  <c r="L8" i="7"/>
  <c r="O8" i="7" s="1"/>
  <c r="O10" i="7"/>
  <c r="P37" i="6"/>
  <c r="P37" i="7"/>
  <c r="M414" i="7"/>
  <c r="P414" i="7" s="1"/>
  <c r="P419" i="7"/>
  <c r="P10" i="6"/>
  <c r="P13" i="7"/>
  <c r="M10" i="7"/>
  <c r="M11" i="7"/>
  <c r="P11" i="7" s="1"/>
  <c r="P30" i="7"/>
  <c r="M28" i="7"/>
  <c r="P28" i="7" s="1"/>
  <c r="P18" i="6"/>
  <c r="P30" i="4"/>
  <c r="P13" i="4"/>
  <c r="M8" i="6"/>
  <c r="O37" i="5"/>
  <c r="P629" i="6"/>
  <c r="M414" i="6"/>
  <c r="P414" i="6" s="1"/>
  <c r="P30" i="6"/>
  <c r="M28" i="6"/>
  <c r="P28" i="6" s="1"/>
  <c r="O629" i="1"/>
  <c r="P37" i="4"/>
  <c r="P11" i="4"/>
  <c r="O37" i="4"/>
  <c r="M414" i="4"/>
  <c r="P414" i="4" s="1"/>
  <c r="O444" i="1"/>
  <c r="O11" i="4"/>
  <c r="P18" i="5"/>
  <c r="L8" i="5"/>
  <c r="O8" i="5" s="1"/>
  <c r="P30" i="5"/>
  <c r="M28" i="5"/>
  <c r="P28" i="5" s="1"/>
  <c r="M414" i="5"/>
  <c r="P414" i="5" s="1"/>
  <c r="P419" i="5"/>
  <c r="M8" i="5"/>
  <c r="P8" i="5" s="1"/>
  <c r="P37" i="3"/>
  <c r="O37" i="3"/>
  <c r="O10" i="2"/>
  <c r="P28" i="4"/>
  <c r="O28" i="4"/>
  <c r="O10" i="3"/>
  <c r="P10" i="3"/>
  <c r="O544" i="1"/>
  <c r="L8" i="3"/>
  <c r="O8" i="3" s="1"/>
  <c r="P523" i="1"/>
  <c r="O414" i="3"/>
  <c r="P655" i="3"/>
  <c r="M414" i="3"/>
  <c r="P414" i="3" s="1"/>
  <c r="P30" i="3"/>
  <c r="M28" i="3"/>
  <c r="P28" i="3" s="1"/>
  <c r="M8" i="3"/>
  <c r="P8" i="3" s="1"/>
  <c r="N8" i="2"/>
  <c r="O8" i="2" s="1"/>
  <c r="P14" i="2"/>
  <c r="P18" i="2"/>
  <c r="O37" i="2"/>
  <c r="P30" i="2"/>
  <c r="M28" i="2"/>
  <c r="P28" i="2" s="1"/>
  <c r="O786" i="1"/>
  <c r="P10" i="2"/>
  <c r="M8" i="2"/>
  <c r="O37" i="1"/>
  <c r="P523" i="2"/>
  <c r="M414" i="2"/>
  <c r="P414" i="2" s="1"/>
  <c r="N414" i="1"/>
  <c r="O414" i="1" s="1"/>
  <c r="N11" i="1"/>
  <c r="O11" i="1" s="1"/>
  <c r="N10" i="1"/>
  <c r="N8" i="1" s="1"/>
  <c r="P8" i="1" s="1"/>
  <c r="N28" i="1"/>
  <c r="P30" i="1"/>
  <c r="O30" i="1"/>
  <c r="O13" i="1"/>
  <c r="P37" i="1"/>
  <c r="P31" i="1"/>
  <c r="O31" i="1"/>
  <c r="L8" i="1"/>
  <c r="P10" i="21" l="1"/>
  <c r="M8" i="21"/>
  <c r="P8" i="21" s="1"/>
  <c r="P10" i="20"/>
  <c r="M8" i="20"/>
  <c r="P8" i="20" s="1"/>
  <c r="P10" i="18"/>
  <c r="M8" i="18"/>
  <c r="P8" i="18" s="1"/>
  <c r="P10" i="17"/>
  <c r="M8" i="17"/>
  <c r="P8" i="17" s="1"/>
  <c r="P10" i="14"/>
  <c r="M8" i="14"/>
  <c r="P8" i="14" s="1"/>
  <c r="P10" i="13"/>
  <c r="M8" i="13"/>
  <c r="P8" i="13" s="1"/>
  <c r="P10" i="8"/>
  <c r="P10" i="11"/>
  <c r="M8" i="11"/>
  <c r="P8" i="11" s="1"/>
  <c r="P10" i="10"/>
  <c r="M8" i="10"/>
  <c r="P8" i="10" s="1"/>
  <c r="M8" i="4"/>
  <c r="P8" i="4" s="1"/>
  <c r="P8" i="6"/>
  <c r="P10" i="7"/>
  <c r="M8" i="7"/>
  <c r="P8" i="7" s="1"/>
  <c r="P8" i="2"/>
  <c r="P414" i="1"/>
  <c r="P11" i="1"/>
  <c r="O8" i="1"/>
  <c r="P10" i="1"/>
  <c r="O10" i="1"/>
  <c r="P28" i="1"/>
  <c r="O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85E2183D-B02A-48E4-8414-BA84FCED81E2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
รบกวนช่วยดูรายละเอียดให้ด้วยค่ะ
สูตรคำนวณ ERROR- #RFF
	-Anonymous</t>
        </r>
      </text>
    </comment>
  </commentList>
</comments>
</file>

<file path=xl/sharedStrings.xml><?xml version="1.0" encoding="utf-8"?>
<sst xmlns="http://schemas.openxmlformats.org/spreadsheetml/2006/main" count="34196" uniqueCount="363">
  <si>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</si>
  <si>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</si>
  <si>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</si>
  <si>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</si>
  <si>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</si>
  <si>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</si>
  <si>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</si>
  <si>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</si>
  <si>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</si>
  <si>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</si>
  <si>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</si>
  <si>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</si>
  <si>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</si>
  <si>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</si>
  <si>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</si>
  <si>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</si>
  <si>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</si>
  <si>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</si>
  <si>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</si>
  <si>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</si>
  <si>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</si>
  <si>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</si>
  <si>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</si>
  <si>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</si>
  <si>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</si>
  <si>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</si>
  <si>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</si>
  <si>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</si>
  <si>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</si>
  <si>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</si>
  <si>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</si>
  <si>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</si>
  <si>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</si>
  <si>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</si>
  <si>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</si>
  <si>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</si>
  <si>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</si>
  <si>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</si>
  <si>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</si>
  <si>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</si>
  <si>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</si>
  <si>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</si>
  <si>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</si>
  <si>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</si>
  <si>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</si>
  <si>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</si>
  <si>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</si>
  <si>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</si>
  <si>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</si>
  <si>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</si>
  <si>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</si>
  <si>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</si>
  <si>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</si>
  <si>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</si>
  <si>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</si>
  <si>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</si>
  <si>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</si>
  <si>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</si>
  <si>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</si>
  <si>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</si>
  <si>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</si>
  <si>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</si>
  <si>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</si>
  <si>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</si>
  <si>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</si>
  <si>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</si>
  <si>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</si>
  <si>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</si>
  <si>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</si>
  <si>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</si>
  <si>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</si>
  <si>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</si>
  <si>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</si>
  <si>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</si>
  <si>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</si>
  <si>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</si>
  <si>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</si>
  <si>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</si>
  <si>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</si>
  <si>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</si>
  <si>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</si>
  <si>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</si>
  <si>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</si>
  <si>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</si>
  <si>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</si>
  <si>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</si>
  <si>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</si>
  <si>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</si>
  <si>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</si>
  <si>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</si>
  <si>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</si>
  <si>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</si>
  <si>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</si>
  <si>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</si>
  <si>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</si>
  <si>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</si>
  <si>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</si>
  <si>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</si>
  <si>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</si>
  <si>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</si>
  <si>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</si>
  <si>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</si>
  <si>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</si>
  <si>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</si>
  <si>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</si>
  <si>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</si>
  <si>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</si>
  <si>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</si>
  <si>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</si>
  <si>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</si>
  <si>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</si>
  <si>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</si>
  <si>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</si>
  <si>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</si>
  <si>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</si>
  <si>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</si>
  <si>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</si>
  <si>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</si>
  <si>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</si>
  <si>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</si>
  <si>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</si>
  <si>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</si>
  <si>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</si>
  <si>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</si>
  <si>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</si>
  <si>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</si>
  <si>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</si>
  <si>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</si>
  <si>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</si>
  <si>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</si>
  <si>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</si>
  <si>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</si>
  <si>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</si>
  <si>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</si>
  <si>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</si>
  <si>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</si>
  <si>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</si>
  <si>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</si>
  <si>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</si>
  <si>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</si>
  <si>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</si>
  <si>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</si>
  <si>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</si>
  <si>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</si>
  <si>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</si>
  <si>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</si>
  <si>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</si>
  <si>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</si>
  <si>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</si>
  <si>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</si>
  <si>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</si>
  <si>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</si>
  <si>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</si>
  <si>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</si>
  <si>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</si>
  <si>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</si>
  <si>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</si>
  <si>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</si>
  <si>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</si>
  <si>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</si>
  <si>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</si>
  <si>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</si>
  <si>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</si>
  <si>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</si>
  <si>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</si>
  <si>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</si>
  <si>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</si>
  <si>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</si>
  <si>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</si>
  <si>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</si>
  <si>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</si>
  <si>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</si>
  <si>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</si>
  <si>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</si>
  <si>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</si>
  <si>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</si>
  <si>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</si>
  <si>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</si>
  <si>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</si>
  <si>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</si>
  <si>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</si>
  <si>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</si>
  <si>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</si>
  <si>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</si>
  <si>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</si>
  <si>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</si>
  <si>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</si>
  <si>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</si>
  <si>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</si>
  <si>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</si>
  <si>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</si>
  <si>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</si>
  <si>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</si>
  <si>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</si>
  <si>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</si>
  <si>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</si>
  <si>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</si>
  <si>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</si>
  <si>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</si>
  <si>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</si>
  <si>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</si>
  <si>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</si>
  <si>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</si>
  <si>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</si>
  <si>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</si>
  <si>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</si>
  <si>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</si>
  <si>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</si>
  <si>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</si>
  <si>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</si>
  <si>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</si>
  <si>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</si>
  <si>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</si>
  <si>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</si>
  <si>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</si>
  <si>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</si>
  <si>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</si>
  <si>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</si>
  <si>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</si>
  <si>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</si>
  <si>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</si>
  <si>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</si>
  <si>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</si>
  <si>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</si>
  <si>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</si>
  <si>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</si>
  <si>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</si>
  <si>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</si>
  <si>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</si>
  <si>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</si>
  <si>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</si>
  <si>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</si>
  <si>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</si>
  <si>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</si>
  <si>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</si>
  <si>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</si>
  <si>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</si>
  <si>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</si>
  <si>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</si>
  <si>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</si>
  <si>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</si>
  <si>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</si>
  <si>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</si>
  <si>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</si>
  <si>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</si>
  <si>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</si>
  <si>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</si>
  <si>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</si>
  <si>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</si>
  <si>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</si>
  <si>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</si>
  <si>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</si>
  <si>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</si>
  <si>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</si>
  <si>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</si>
  <si>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</si>
  <si>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</si>
  <si>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</si>
  <si>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</si>
  <si>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</si>
  <si>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</si>
  <si>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</si>
  <si>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</si>
  <si>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</si>
  <si>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</si>
  <si>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</si>
  <si>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</si>
  <si>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</si>
  <si>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</si>
  <si>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</si>
  <si>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</si>
  <si>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</si>
  <si>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</si>
  <si>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</si>
  <si>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</si>
  <si>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</si>
  <si>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</si>
  <si>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</si>
  <si>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</si>
  <si>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</si>
  <si>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</si>
  <si>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</si>
  <si>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</si>
  <si>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</si>
  <si>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</si>
  <si>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</si>
  <si>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</si>
  <si>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</si>
  <si>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</si>
  <si>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</si>
  <si>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</si>
  <si>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</si>
  <si>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</si>
  <si>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</si>
  <si>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</si>
  <si>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</si>
  <si>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</si>
  <si>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</si>
  <si>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</si>
  <si>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</si>
  <si>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</si>
  <si>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</si>
  <si>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</si>
  <si>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</si>
  <si>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</si>
  <si>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</si>
  <si>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</si>
  <si>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</si>
  <si>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</si>
  <si>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</si>
  <si>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</si>
  <si>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</si>
  <si>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</si>
  <si>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</si>
  <si>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</si>
  <si>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</si>
  <si>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</si>
  <si>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</si>
  <si>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</si>
  <si>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</si>
  <si>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</si>
  <si>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</si>
  <si>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</si>
  <si>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</si>
  <si>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</si>
  <si>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</si>
  <si>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</si>
  <si>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</si>
  <si>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</si>
  <si>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</si>
  <si>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</si>
  <si>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</si>
  <si>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</si>
  <si>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</si>
  <si>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</si>
  <si>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</si>
  <si>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</si>
  <si>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</si>
  <si>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</si>
  <si>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</si>
  <si>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</si>
  <si>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</si>
  <si>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</si>
  <si>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</si>
  <si>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</si>
  <si>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</si>
  <si>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งานพิพาท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</si>
  <si>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</si>
  <si>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</si>
  <si>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</si>
  <si>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</si>
  <si>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</si>
  <si>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</si>
  <si>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</si>
  <si>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</si>
  <si>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</si>
  <si>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</si>
  <si>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</si>
  <si>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</si>
  <si>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</si>
  <si>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</si>
  <si>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</si>
  <si>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30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</si>
</sst>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4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1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6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6" fillId="0" borderId="10" xfId="0" applyFont="1" applyBorder="1" applyAlignment="1">
      <alignment horizontal="center"/>
    </xf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29" fillId="22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7" borderId="11" xfId="0" applyNumberFormat="1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10" borderId="11" xfId="0" applyFont="1" applyFill="1" applyBorder="1" applyAlignment="1">
      <alignment horizontal="left"/>
    </xf>
    <xf numFmtId="189" fontId="4" fillId="2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91" fontId="4" fillId="22" borderId="11" xfId="0" applyNumberFormat="1" applyFont="1" applyFill="1" applyBorder="1" applyAlignment="1"/>
    <xf numFmtId="191" fontId="4" fillId="22" borderId="4" xfId="0" applyNumberFormat="1" applyFont="1" applyFill="1" applyBorder="1" applyAlignment="1"/>
    <xf numFmtId="189" fontId="64" fillId="22" borderId="11" xfId="0" applyNumberFormat="1" applyFont="1" applyFill="1" applyBorder="1" applyAlignment="1"/>
    <xf numFmtId="189" fontId="35" fillId="2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20.25" customHeight="1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20.25" customHeight="1">
      <c r="A2" s="839" t="s">
        <v>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20.25" customHeight="1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20.25" customHeight="1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93206240</v>
      </c>
      <c r="M8" s="22">
        <f t="shared" ca="1" si="0"/>
        <v>94959000.959999993</v>
      </c>
      <c r="N8" s="22">
        <f t="shared" ca="1" si="0"/>
        <v>71540737.289999962</v>
      </c>
      <c r="O8" s="22">
        <f t="shared" ref="O8:O16" ca="1" si="1">IF(L8&gt;0,N8*100/L8,0)</f>
        <v>76.755308754006123</v>
      </c>
      <c r="P8" s="22">
        <f t="shared" ref="P8:P16" ca="1" si="2">IF(M8&gt;0,N8*100/M8,0)</f>
        <v>75.338553024726309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93206240</v>
      </c>
      <c r="M10" s="30">
        <f t="shared" ca="1" si="4"/>
        <v>94959000.959999993</v>
      </c>
      <c r="N10" s="30">
        <f t="shared" ca="1" si="4"/>
        <v>71540737.289999962</v>
      </c>
      <c r="O10" s="30">
        <f t="shared" ca="1" si="1"/>
        <v>76.755308754006123</v>
      </c>
      <c r="P10" s="30">
        <f t="shared" ca="1" si="2"/>
        <v>75.338553024726309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83227040</v>
      </c>
      <c r="M11" s="38">
        <f t="shared" ca="1" si="5"/>
        <v>85057568.769999996</v>
      </c>
      <c r="N11" s="38">
        <f t="shared" ca="1" si="5"/>
        <v>61639305.099999964</v>
      </c>
      <c r="O11" s="38">
        <f t="shared" ca="1" si="1"/>
        <v>74.061633214397588</v>
      </c>
      <c r="P11" s="38">
        <f t="shared" ca="1" si="2"/>
        <v>72.46774859821798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83227040</v>
      </c>
      <c r="M13" s="45">
        <f t="shared" ca="1" si="7"/>
        <v>85057568.769999996</v>
      </c>
      <c r="N13" s="45">
        <f t="shared" ca="1" si="7"/>
        <v>61639305.099999964</v>
      </c>
      <c r="O13" s="45">
        <f t="shared" ca="1" si="1"/>
        <v>74.061633214397588</v>
      </c>
      <c r="P13" s="45">
        <f t="shared" ca="1" si="2"/>
        <v>72.46774859821798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9901432.1900000013</v>
      </c>
      <c r="N14" s="38">
        <f t="shared" ca="1" si="8"/>
        <v>9901432.1900000013</v>
      </c>
      <c r="O14" s="38">
        <f t="shared" ca="1" si="1"/>
        <v>99.220700957992634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9901432.1900000013</v>
      </c>
      <c r="N16" s="52">
        <f t="shared" ca="1" si="10"/>
        <v>9901432.1900000013</v>
      </c>
      <c r="O16" s="52">
        <f t="shared" ca="1" si="1"/>
        <v>99.220700957992634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71535629.959999993</v>
      </c>
      <c r="N18" s="22">
        <f t="shared" ca="1" si="11"/>
        <v>56931730.029999986</v>
      </c>
      <c r="O18" s="22">
        <f t="shared" ref="O18:O26" ca="1" si="12">IF(L18&gt;0,N18*100/L18,0)</f>
        <v>81.669348843946167</v>
      </c>
      <c r="P18" s="22">
        <f t="shared" ref="P18:P26" ca="1" si="13">IF(M18&gt;0,N18*100/M18,0)</f>
        <v>79.585138289596458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71535629.959999993</v>
      </c>
      <c r="N20" s="30">
        <f t="shared" ca="1" si="15"/>
        <v>56931730.029999986</v>
      </c>
      <c r="O20" s="30">
        <f t="shared" ca="1" si="12"/>
        <v>81.669348843946167</v>
      </c>
      <c r="P20" s="30">
        <f t="shared" ca="1" si="13"/>
        <v>79.585138289596458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61634197.769999996</v>
      </c>
      <c r="N21" s="38">
        <f t="shared" ca="1" si="16"/>
        <v>47030297.839999989</v>
      </c>
      <c r="O21" s="38">
        <f t="shared" ca="1" si="12"/>
        <v>78.737053340608838</v>
      </c>
      <c r="P21" s="38">
        <f t="shared" ca="1" si="13"/>
        <v>76.305524435480933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61634197.769999996</v>
      </c>
      <c r="N23" s="45">
        <f t="shared" ca="1" si="18"/>
        <v>47030297.839999989</v>
      </c>
      <c r="O23" s="45">
        <f t="shared" ca="1" si="12"/>
        <v>78.737053340608838</v>
      </c>
      <c r="P23" s="45">
        <f t="shared" ca="1" si="13"/>
        <v>76.305524435480933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9901432.1900000013</v>
      </c>
      <c r="N24" s="38">
        <f t="shared" ca="1" si="19"/>
        <v>9901432.1900000013</v>
      </c>
      <c r="O24" s="38">
        <f t="shared" ca="1" si="12"/>
        <v>99.220700957992634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9901432.1900000013</v>
      </c>
      <c r="N26" s="52">
        <f t="shared" ca="1" si="21"/>
        <v>9901432.1900000013</v>
      </c>
      <c r="O26" s="52">
        <f t="shared" ca="1" si="12"/>
        <v>99.220700957992634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23496207</v>
      </c>
      <c r="M28" s="22">
        <f t="shared" ca="1" si="22"/>
        <v>23423371</v>
      </c>
      <c r="N28" s="22">
        <f t="shared" ca="1" si="22"/>
        <v>14609007.259999977</v>
      </c>
      <c r="O28" s="22">
        <f t="shared" ref="O28:O37" ca="1" si="23">IF(L28&gt;0,N28*100/L28,0)</f>
        <v>62.176023815248044</v>
      </c>
      <c r="P28" s="22">
        <f t="shared" ref="P28:P31" ca="1" si="24">IF(M28&gt;0,N28*100/M28,0)</f>
        <v>62.369362889739392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23496207</v>
      </c>
      <c r="M30" s="30">
        <f t="shared" ca="1" si="26"/>
        <v>23423371</v>
      </c>
      <c r="N30" s="30">
        <f t="shared" ca="1" si="26"/>
        <v>14609007.259999977</v>
      </c>
      <c r="O30" s="30">
        <f t="shared" ca="1" si="23"/>
        <v>62.176023815248044</v>
      </c>
      <c r="P30" s="30">
        <f t="shared" ca="1" si="24"/>
        <v>62.369362889739392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23496207</v>
      </c>
      <c r="M31" s="38">
        <f t="shared" ca="1" si="27"/>
        <v>23423371</v>
      </c>
      <c r="N31" s="38">
        <f t="shared" ca="1" si="27"/>
        <v>14609007.259999977</v>
      </c>
      <c r="O31" s="38">
        <f t="shared" ca="1" si="23"/>
        <v>62.176023815248044</v>
      </c>
      <c r="P31" s="38">
        <f t="shared" ca="1" si="24"/>
        <v>62.369362889739392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23496207</v>
      </c>
      <c r="M33" s="45">
        <f t="shared" ca="1" si="29"/>
        <v>23423371</v>
      </c>
      <c r="N33" s="45">
        <f t="shared" ca="1" si="29"/>
        <v>14609007.259999977</v>
      </c>
      <c r="O33" s="45">
        <f t="shared" ca="1" si="23"/>
        <v>62.176023815248044</v>
      </c>
      <c r="P33" s="45">
        <f t="shared" ref="P33:P37" ca="1" si="30">IF(M33&gt;0,N33*100/M33,0)</f>
        <v>62.369362889739392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63773329.960000001</v>
      </c>
      <c r="N37" s="59">
        <f ca="1">N41+N53+N66+N88+N119+N132+N149+N165+N181+N261+N277+N298+N315+N328+N345+N389+N402</f>
        <v>56931730.029999986</v>
      </c>
      <c r="O37" s="59">
        <f t="shared" ca="1" si="23"/>
        <v>81.669348843946167</v>
      </c>
      <c r="P37" s="59">
        <f t="shared" ca="1" si="30"/>
        <v>89.272004560070471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8789992.7699999996</v>
      </c>
      <c r="N41" s="85">
        <f t="shared" ca="1" si="34"/>
        <v>7163595.9199999999</v>
      </c>
      <c r="O41" s="85">
        <f t="shared" ref="O41:O45" ca="1" si="35">IF(L41&gt;0,N41*100/L41,0)</f>
        <v>86.45172779251574</v>
      </c>
      <c r="P41" s="85">
        <f t="shared" ref="P41:P49" ca="1" si="36">IF(M41&gt;0,N41*100/M41,0)</f>
        <v>81.497176476062108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8789992.7699999996</v>
      </c>
      <c r="N43" s="92">
        <f t="shared" ca="1" si="38"/>
        <v>7163595.9199999999</v>
      </c>
      <c r="O43" s="92">
        <f t="shared" ca="1" si="35"/>
        <v>86.45172779251574</v>
      </c>
      <c r="P43" s="92">
        <f t="shared" ca="1" si="36"/>
        <v>81.497176476062108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8789992.7699999996</v>
      </c>
      <c r="N44" s="38">
        <f t="shared" ca="1" si="39"/>
        <v>7163595.9199999999</v>
      </c>
      <c r="O44" s="38">
        <f t="shared" ca="1" si="35"/>
        <v>86.45172779251574</v>
      </c>
      <c r="P44" s="38">
        <f t="shared" ca="1" si="36"/>
        <v>81.497176476062108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"),8789992.77)</f>
        <v>8789992.7699999996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"),7163595.92)</f>
        <v>7163595.9199999999</v>
      </c>
      <c r="O46" s="45">
        <f ca="1">IF(M46&gt;0,N46*100/M46,0)</f>
        <v>81.497176476062108</v>
      </c>
      <c r="P46" s="45">
        <f t="shared" ca="1" si="36"/>
        <v>81.497176476062108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19973042.190000001</v>
      </c>
      <c r="N53" s="116">
        <f t="shared" ca="1" si="42"/>
        <v>17501386.890000001</v>
      </c>
      <c r="O53" s="116">
        <f t="shared" ref="O53:O61" ca="1" si="43">IF(L53&gt;0,N53*100/L53,0)</f>
        <v>89.430129382367824</v>
      </c>
      <c r="P53" s="116">
        <f t="shared" ref="P53:P61" ca="1" si="44">IF(M53&gt;0,N53*100/M53,0)</f>
        <v>87.625043413579249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19973042.190000001</v>
      </c>
      <c r="N55" s="123">
        <f t="shared" ca="1" si="46"/>
        <v>17501386.890000001</v>
      </c>
      <c r="O55" s="123">
        <f t="shared" ca="1" si="43"/>
        <v>89.430129382367824</v>
      </c>
      <c r="P55" s="123">
        <f t="shared" ca="1" si="44"/>
        <v>87.625043413579249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14551850</v>
      </c>
      <c r="N56" s="38">
        <f t="shared" ca="1" si="47"/>
        <v>12080194.699999999</v>
      </c>
      <c r="O56" s="38">
        <f t="shared" ca="1" si="43"/>
        <v>85.613206758231641</v>
      </c>
      <c r="P56" s="38">
        <f t="shared" ca="1" si="44"/>
        <v>83.014837975927463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"),14551850)</f>
        <v>14551850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"),12080194.7)</f>
        <v>12080194.699999999</v>
      </c>
      <c r="O58" s="45">
        <f t="shared" ca="1" si="43"/>
        <v>85.613206758231641</v>
      </c>
      <c r="P58" s="45">
        <f t="shared" ca="1" si="44"/>
        <v>83.014837975927463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5421192.1900000004</v>
      </c>
      <c r="N59" s="38">
        <f t="shared" ca="1" si="48"/>
        <v>5421192.1900000004</v>
      </c>
      <c r="O59" s="38">
        <f t="shared" ca="1" si="43"/>
        <v>99.29469000128212</v>
      </c>
      <c r="P59" s="38">
        <f t="shared" ca="1" si="44"/>
        <v>99.999999999999986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"),5421192.19)</f>
        <v>5421192.1900000004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"),5421192.19)</f>
        <v>5421192.1900000004</v>
      </c>
      <c r="O61" s="52">
        <f t="shared" ca="1" si="43"/>
        <v>99.29469000128212</v>
      </c>
      <c r="P61" s="52">
        <f t="shared" ca="1" si="44"/>
        <v>99.999999999999986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8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450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5805940</v>
      </c>
      <c r="N66" s="155">
        <f t="shared" ca="1" si="52"/>
        <v>3997095.7899999898</v>
      </c>
      <c r="O66" s="155">
        <f t="shared" ref="O66:O74" ca="1" si="53">IF(L66&gt;0,N66*100/L66,0)</f>
        <v>69.380774331290723</v>
      </c>
      <c r="P66" s="155">
        <f t="shared" ref="P66:P74" ca="1" si="54">IF(M66&gt;0,N66*100/M66,0)</f>
        <v>68.844937942865229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5805940</v>
      </c>
      <c r="N68" s="45">
        <f t="shared" ca="1" si="56"/>
        <v>3997095.7899999898</v>
      </c>
      <c r="O68" s="45">
        <f t="shared" ca="1" si="53"/>
        <v>69.380774331290723</v>
      </c>
      <c r="P68" s="45">
        <f t="shared" ca="1" si="54"/>
        <v>68.844937942865229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5805940</v>
      </c>
      <c r="N69" s="38">
        <f t="shared" ca="1" si="57"/>
        <v>3997095.7899999898</v>
      </c>
      <c r="O69" s="38">
        <f t="shared" ca="1" si="53"/>
        <v>69.380774331290723</v>
      </c>
      <c r="P69" s="38">
        <f t="shared" ca="1" si="54"/>
        <v>68.844937942865229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"),5805940)</f>
        <v>5805940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"),3997095.78999999)</f>
        <v>3997095.7899999898</v>
      </c>
      <c r="O71" s="45">
        <f t="shared" ca="1" si="53"/>
        <v>69.380774331290723</v>
      </c>
      <c r="P71" s="45">
        <f t="shared" ca="1" si="54"/>
        <v>68.844937942865229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8</v>
      </c>
      <c r="K76" s="163">
        <f t="shared" ref="K76:K84" ca="1" si="60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450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3">
        <f t="shared" ca="1" si="60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3">
        <f t="shared" ca="1" si="60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3">
        <f t="shared" ca="1" si="60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"),4)</f>
        <v>4</v>
      </c>
      <c r="K84" s="163">
        <f t="shared" ca="1" si="60"/>
        <v>50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645</v>
      </c>
      <c r="K86" s="145">
        <f t="shared" ref="K86:K87" ca="1" si="63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215</v>
      </c>
      <c r="K87" s="145">
        <f t="shared" ca="1" si="63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3453165</v>
      </c>
      <c r="N88" s="155">
        <f t="shared" ca="1" si="65"/>
        <v>2510571.0699999998</v>
      </c>
      <c r="O88" s="155">
        <f t="shared" ref="O88:O96" ca="1" si="66">IF(L88&gt;0,N88*100/L88,0)</f>
        <v>73.308622461791813</v>
      </c>
      <c r="P88" s="155">
        <f t="shared" ref="P88:P96" ca="1" si="67">IF(M88&gt;0,N88*100/M88,0)</f>
        <v>72.703478403146093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3453165</v>
      </c>
      <c r="N90" s="45">
        <f t="shared" ca="1" si="69"/>
        <v>2510571.0699999998</v>
      </c>
      <c r="O90" s="45">
        <f t="shared" ca="1" si="66"/>
        <v>73.308622461791813</v>
      </c>
      <c r="P90" s="45">
        <f t="shared" ca="1" si="67"/>
        <v>72.703478403146093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3453165</v>
      </c>
      <c r="N91" s="38">
        <f t="shared" ca="1" si="70"/>
        <v>2510571.0699999998</v>
      </c>
      <c r="O91" s="38">
        <f t="shared" ca="1" si="66"/>
        <v>73.308622461791813</v>
      </c>
      <c r="P91" s="38">
        <f t="shared" ca="1" si="67"/>
        <v>72.703478403146093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"),3453165)</f>
        <v>3453165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"),2510571.07)</f>
        <v>2510571.0699999998</v>
      </c>
      <c r="O93" s="45">
        <f t="shared" ca="1" si="66"/>
        <v>73.308622461791813</v>
      </c>
      <c r="P93" s="45">
        <f t="shared" ca="1" si="67"/>
        <v>72.703478403146093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645</v>
      </c>
      <c r="K98" s="38">
        <f t="shared" ref="K98:K100" ca="1" si="72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215</v>
      </c>
      <c r="K99" s="38">
        <f t="shared" ca="1" si="72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32</v>
      </c>
      <c r="K100" s="38">
        <f t="shared" ca="1" si="72"/>
        <v>84.21052631578948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8">
        <f t="shared" ref="K102:K104" ca="1" si="73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8">
        <f t="shared" ca="1" si="73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8">
        <f t="shared" ca="1" si="73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"),17)</f>
        <v>17</v>
      </c>
      <c r="K106" s="38">
        <f t="shared" ref="K106:K107" ca="1" si="74">IF(I106&gt;0,J106*100/I106,0)</f>
        <v>100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"),17)</f>
        <v>17</v>
      </c>
      <c r="K107" s="38">
        <f t="shared" ca="1" si="74"/>
        <v>100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"),15)</f>
        <v>15</v>
      </c>
      <c r="K109" s="38">
        <f t="shared" ref="K109:K116" ca="1" si="75">IF(I109&gt;0,J109*100/I109,0)</f>
        <v>71.428571428571431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"),15)</f>
        <v>15</v>
      </c>
      <c r="K110" s="38">
        <f t="shared" ca="1" si="75"/>
        <v>71.428571428571431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30</v>
      </c>
      <c r="K111" s="195">
        <f t="shared" ca="1" si="75"/>
        <v>13.953488372093023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5</v>
      </c>
      <c r="K112" s="195">
        <f t="shared" ca="1" si="75"/>
        <v>13.157894736842104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"),60)</f>
        <v>60</v>
      </c>
      <c r="K113" s="38">
        <f t="shared" ca="1" si="75"/>
        <v>27.906976744186046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"),30)</f>
        <v>30</v>
      </c>
      <c r="K114" s="38">
        <f t="shared" ca="1" si="75"/>
        <v>13.953488372093023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"),2)</f>
        <v>2</v>
      </c>
      <c r="K115" s="38">
        <f t="shared" ca="1" si="75"/>
        <v>11.764705882352942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"),3)</f>
        <v>3</v>
      </c>
      <c r="K116" s="38">
        <f t="shared" ca="1" si="75"/>
        <v>14.285714285714286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"),7)</f>
        <v>7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5</v>
      </c>
      <c r="K130" s="145">
        <f t="shared" ref="K130:K131" ca="1" si="85">IF(I130&gt;0,J130*100/I130,0)</f>
        <v>100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50</v>
      </c>
      <c r="K131" s="145">
        <f t="shared" ca="1" si="85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1169175</v>
      </c>
      <c r="N132" s="155">
        <f t="shared" ca="1" si="87"/>
        <v>1015878.2</v>
      </c>
      <c r="O132" s="155">
        <f t="shared" ref="O132:O140" ca="1" si="88">IF(L132&gt;0,N132*100/L132,0)</f>
        <v>86.888464087925243</v>
      </c>
      <c r="P132" s="155">
        <f t="shared" ref="P132:P140" ca="1" si="89">IF(M132&gt;0,N132*100/M132,0)</f>
        <v>86.888464087925243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1169175</v>
      </c>
      <c r="N134" s="45">
        <f t="shared" ca="1" si="91"/>
        <v>1015878.2</v>
      </c>
      <c r="O134" s="45">
        <f t="shared" ca="1" si="88"/>
        <v>86.888464087925243</v>
      </c>
      <c r="P134" s="45">
        <f t="shared" ca="1" si="89"/>
        <v>86.888464087925243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654175</v>
      </c>
      <c r="N135" s="38">
        <f t="shared" ca="1" si="92"/>
        <v>500878.2</v>
      </c>
      <c r="O135" s="38">
        <f t="shared" ca="1" si="88"/>
        <v>76.566392784805288</v>
      </c>
      <c r="P135" s="38">
        <f t="shared" ca="1" si="89"/>
        <v>76.566392784805288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"),654175)</f>
        <v>654175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"),500878.2)</f>
        <v>500878.2</v>
      </c>
      <c r="O137" s="45">
        <f t="shared" ca="1" si="88"/>
        <v>76.566392784805288</v>
      </c>
      <c r="P137" s="45">
        <f t="shared" ca="1" si="89"/>
        <v>76.566392784805288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8">
        <f t="shared" ref="K143:K146" ca="1" si="94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8">
        <f t="shared" ca="1" si="94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8">
        <f t="shared" ca="1" si="94"/>
        <v>100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138</v>
      </c>
      <c r="K148" s="145">
        <f ca="1">IF(I148&gt;0,J148*100/I148,0)</f>
        <v>92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106250</v>
      </c>
      <c r="N149" s="155">
        <f t="shared" ca="1" si="96"/>
        <v>88650</v>
      </c>
      <c r="O149" s="155">
        <f t="shared" ref="O149:O157" ca="1" si="97">IF(L149&gt;0,N149*100/L149,0)</f>
        <v>118.2</v>
      </c>
      <c r="P149" s="155">
        <f t="shared" ref="P149:P157" ca="1" si="98">IF(M149&gt;0,N149*100/M149,0)</f>
        <v>83.435294117647061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106250</v>
      </c>
      <c r="N151" s="45">
        <f t="shared" ca="1" si="100"/>
        <v>88650</v>
      </c>
      <c r="O151" s="45">
        <f t="shared" ca="1" si="97"/>
        <v>118.2</v>
      </c>
      <c r="P151" s="45">
        <f t="shared" ca="1" si="98"/>
        <v>83.435294117647061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106250</v>
      </c>
      <c r="N152" s="38">
        <f t="shared" ca="1" si="101"/>
        <v>88650</v>
      </c>
      <c r="O152" s="38">
        <f t="shared" ca="1" si="97"/>
        <v>118.2</v>
      </c>
      <c r="P152" s="38">
        <f t="shared" ca="1" si="98"/>
        <v>83.435294117647061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"),106250)</f>
        <v>106250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"),88650)</f>
        <v>88650</v>
      </c>
      <c r="O154" s="45">
        <f t="shared" ca="1" si="97"/>
        <v>118.2</v>
      </c>
      <c r="P154" s="45">
        <f t="shared" ca="1" si="98"/>
        <v>83.435294117647061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"),138)</f>
        <v>138</v>
      </c>
      <c r="K159" s="38">
        <f ca="1">IF(I159&gt;0,J159*100/I159,0)</f>
        <v>92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194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549670</v>
      </c>
      <c r="N165" s="155">
        <f t="shared" ca="1" si="104"/>
        <v>546837.56000000006</v>
      </c>
      <c r="O165" s="155">
        <f t="shared" ref="O165:O173" ca="1" si="105">IF(L165&gt;0,N165*100/L165,0)</f>
        <v>139.15503982492305</v>
      </c>
      <c r="P165" s="155">
        <f t="shared" ref="P165:P173" ca="1" si="106">IF(M165&gt;0,N165*100/M165,0)</f>
        <v>99.484701730129004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549670</v>
      </c>
      <c r="N167" s="45">
        <f t="shared" ca="1" si="108"/>
        <v>546837.56000000006</v>
      </c>
      <c r="O167" s="45">
        <f t="shared" ca="1" si="105"/>
        <v>139.15503982492305</v>
      </c>
      <c r="P167" s="45">
        <f t="shared" ca="1" si="106"/>
        <v>99.484701730129004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549670</v>
      </c>
      <c r="N168" s="38">
        <f t="shared" ca="1" si="109"/>
        <v>546837.56000000006</v>
      </c>
      <c r="O168" s="38">
        <f t="shared" ca="1" si="105"/>
        <v>139.15503982492305</v>
      </c>
      <c r="P168" s="38">
        <f t="shared" ca="1" si="106"/>
        <v>99.484701730129004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"),549670)</f>
        <v>549670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"),546837.56)</f>
        <v>546837.56000000006</v>
      </c>
      <c r="O170" s="45">
        <f t="shared" ca="1" si="105"/>
        <v>139.15503982492305</v>
      </c>
      <c r="P170" s="45">
        <f t="shared" ca="1" si="106"/>
        <v>99.484701730129004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194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380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5011460</v>
      </c>
      <c r="N181" s="155">
        <f t="shared" ca="1" si="113"/>
        <v>3931076.58</v>
      </c>
      <c r="O181" s="155">
        <f t="shared" ref="O181:O189" ca="1" si="114">IF(L181&gt;0,N181*100/L181,0)</f>
        <v>81.732261471609462</v>
      </c>
      <c r="P181" s="155">
        <f t="shared" ref="P181:P189" ca="1" si="115">IF(M181&gt;0,N181*100/M181,0)</f>
        <v>78.441743124758048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5011460</v>
      </c>
      <c r="N183" s="45">
        <f t="shared" ca="1" si="117"/>
        <v>3931076.58</v>
      </c>
      <c r="O183" s="45">
        <f t="shared" ca="1" si="114"/>
        <v>81.732261471609462</v>
      </c>
      <c r="P183" s="45">
        <f t="shared" ca="1" si="115"/>
        <v>78.441743124758048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5011460</v>
      </c>
      <c r="N184" s="38">
        <f t="shared" ca="1" si="118"/>
        <v>3931076.58</v>
      </c>
      <c r="O184" s="38">
        <f t="shared" ca="1" si="114"/>
        <v>81.732261471609462</v>
      </c>
      <c r="P184" s="38">
        <f t="shared" ca="1" si="115"/>
        <v>78.441743124758048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"),5011460)</f>
        <v>5011460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"),3931076.58)</f>
        <v>3931076.58</v>
      </c>
      <c r="O186" s="45">
        <f t="shared" ca="1" si="114"/>
        <v>81.732261471609462</v>
      </c>
      <c r="P186" s="45">
        <f t="shared" ca="1" si="115"/>
        <v>78.441743124758048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55</v>
      </c>
      <c r="K190" s="273">
        <f ca="1">IF(I190&gt;0,J190*100/I190,0)</f>
        <v>65.476190476190482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"),72392)</f>
        <v>72392</v>
      </c>
      <c r="O191" s="155">
        <f ca="1">IF(L191&gt;0,N191*100/L191,0)</f>
        <v>57.453968253968256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"),55)</f>
        <v>55</v>
      </c>
      <c r="K193" s="38">
        <f ca="1">IF(I193&gt;0,J193*100/I193,0)</f>
        <v>65.476190476190482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2029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"),2022)</f>
        <v>2022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39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494180</v>
      </c>
      <c r="O198" s="155">
        <f ca="1">IF(L198&gt;0,N198*100/L198,0)</f>
        <v>95.586073500967117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"),35370)</f>
        <v>35370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"),312810)</f>
        <v>312810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"),136000)</f>
        <v>136000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"),10000)</f>
        <v>10000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"),33)</f>
        <v>33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"),2)</f>
        <v>2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17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238000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"),17000)</f>
        <v>17000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"),85000)</f>
        <v>85000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"),136000)</f>
        <v>136000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"),17)</f>
        <v>17</v>
      </c>
      <c r="K214" s="38">
        <f t="shared" ref="K214:K216" ca="1" si="123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63200</v>
      </c>
      <c r="K216" s="273">
        <f t="shared" ca="1" si="123"/>
        <v>13.441088898341132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60560</v>
      </c>
      <c r="O217" s="155">
        <f ca="1">IF(L217&gt;0,N217*100/L217,0)</f>
        <v>24.448930157448526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"),20160)</f>
        <v>20160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"),400)</f>
        <v>400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"),40000)</f>
        <v>40000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"),316000)</f>
        <v>316000</v>
      </c>
      <c r="K223" s="163">
        <f t="shared" ref="K223:K226" ca="1" si="125">IF(I223&gt;0,J223*100/I223,0)</f>
        <v>67.205444491705663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"),63200)</f>
        <v>63200</v>
      </c>
      <c r="K224" s="163">
        <f t="shared" ca="1" si="125"/>
        <v>13.441088898341132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340</v>
      </c>
      <c r="K226" s="301">
        <f t="shared" ca="1" si="125"/>
        <v>100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1319497.3999999999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491572.4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425635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252500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149790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340</v>
      </c>
      <c r="K233" s="283">
        <f ca="1">IF(I233&gt;0,J233*100/I233,0)</f>
        <v>100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280</v>
      </c>
      <c r="K235" s="283">
        <f t="shared" ref="K235:K237" ca="1" si="131">IF(I235&gt;0,J235*100/I235,0)</f>
        <v>100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13</v>
      </c>
      <c r="K236" s="283">
        <f t="shared" ca="1" si="131"/>
        <v>100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270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1130027.3999999999</v>
      </c>
      <c r="O238" s="356">
        <f ca="1">IF(L238&gt;0,N238*100/L238,0)</f>
        <v>85.073206353986293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"),449362.4)</f>
        <v>449362.4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"),358375)</f>
        <v>358375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"),192500)</f>
        <v>192500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"),129790)</f>
        <v>129790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"),270)</f>
        <v>270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"),250)</f>
        <v>250</v>
      </c>
      <c r="K246" s="45">
        <f t="shared" ref="K246:K248" ca="1" si="134">IF(I246&gt;0,J246*100/I246,0)</f>
        <v>100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"),11)</f>
        <v>11</v>
      </c>
      <c r="K247" s="45">
        <f t="shared" ca="1" si="134"/>
        <v>100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189470</v>
      </c>
      <c r="O249" s="356">
        <f ca="1">IF(L249&gt;0,N249*100/L249,0)</f>
        <v>98.630921395106711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"),42210)</f>
        <v>42210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"),60000)</f>
        <v>60000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"),20000)</f>
        <v>20000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"),30)</f>
        <v>30</v>
      </c>
      <c r="K257" s="45">
        <f t="shared" ref="K257:K258" ca="1" si="136">IF(I257&gt;0,J257*100/I257,0)</f>
        <v>100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"),2)</f>
        <v>2</v>
      </c>
      <c r="K258" s="45">
        <f t="shared" ca="1" si="136"/>
        <v>100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418</v>
      </c>
      <c r="K260" s="254">
        <f ca="1">IF(I260&gt;0,J260*100/I260,0)</f>
        <v>95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830000</v>
      </c>
      <c r="N261" s="155">
        <f t="shared" ca="1" si="138"/>
        <v>608080.679999999</v>
      </c>
      <c r="O261" s="155">
        <f t="shared" ref="O261:O269" ca="1" si="139">IF(L261&gt;0,N261*100/L261,0)</f>
        <v>73.26273253012036</v>
      </c>
      <c r="P261" s="155">
        <f t="shared" ref="P261:P269" ca="1" si="140">IF(M261&gt;0,N261*100/M261,0)</f>
        <v>73.26273253012036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830000</v>
      </c>
      <c r="N263" s="45">
        <f t="shared" ca="1" si="142"/>
        <v>608080.679999999</v>
      </c>
      <c r="O263" s="45">
        <f t="shared" ca="1" si="139"/>
        <v>73.26273253012036</v>
      </c>
      <c r="P263" s="45">
        <f t="shared" ca="1" si="140"/>
        <v>73.26273253012036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830000</v>
      </c>
      <c r="N264" s="38">
        <f t="shared" ca="1" si="143"/>
        <v>608080.679999999</v>
      </c>
      <c r="O264" s="38">
        <f t="shared" ca="1" si="139"/>
        <v>73.26273253012036</v>
      </c>
      <c r="P264" s="38">
        <f t="shared" ca="1" si="140"/>
        <v>73.26273253012036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"),830000)</f>
        <v>830000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"),608080.679999999)</f>
        <v>608080.679999999</v>
      </c>
      <c r="O266" s="45">
        <f t="shared" ca="1" si="139"/>
        <v>73.26273253012036</v>
      </c>
      <c r="P266" s="45">
        <f t="shared" ca="1" si="140"/>
        <v>73.26273253012036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"),418)</f>
        <v>418</v>
      </c>
      <c r="K271" s="163">
        <f ca="1">IF(I271&gt;0,J271*100/I271,0)</f>
        <v>95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105</v>
      </c>
      <c r="K275" s="407">
        <f t="shared" ref="K275:K276" ca="1" si="146">IF(I275&gt;0,J275*100/I275,0)</f>
        <v>70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1200</v>
      </c>
      <c r="K276" s="407">
        <f t="shared" ca="1" si="146"/>
        <v>80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963020</v>
      </c>
      <c r="N277" s="155">
        <f t="shared" ca="1" si="148"/>
        <v>713489.97</v>
      </c>
      <c r="O277" s="155">
        <f t="shared" ref="O277:O285" ca="1" si="149">IF(L277&gt;0,N277*100/L277,0)</f>
        <v>74.088800855641622</v>
      </c>
      <c r="P277" s="155">
        <f t="shared" ref="P277:P285" ca="1" si="150">IF(M277&gt;0,N277*100/M277,0)</f>
        <v>74.088800855641622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963020</v>
      </c>
      <c r="N279" s="45">
        <f t="shared" ca="1" si="152"/>
        <v>713489.97</v>
      </c>
      <c r="O279" s="45">
        <f t="shared" ca="1" si="149"/>
        <v>74.088800855641622</v>
      </c>
      <c r="P279" s="45">
        <f t="shared" ca="1" si="150"/>
        <v>74.088800855641622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963020</v>
      </c>
      <c r="N280" s="38">
        <f t="shared" ca="1" si="153"/>
        <v>713489.97</v>
      </c>
      <c r="O280" s="38">
        <f t="shared" ca="1" si="149"/>
        <v>74.088800855641622</v>
      </c>
      <c r="P280" s="38">
        <f t="shared" ca="1" si="150"/>
        <v>74.088800855641622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"),963020)</f>
        <v>963020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"),713489.97)</f>
        <v>713489.97</v>
      </c>
      <c r="O282" s="45">
        <f t="shared" ca="1" si="149"/>
        <v>74.088800855641622</v>
      </c>
      <c r="P282" s="45">
        <f t="shared" ca="1" si="150"/>
        <v>74.088800855641622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"),1200)</f>
        <v>1200</v>
      </c>
      <c r="K287" s="163">
        <f t="shared" ref="K287:K288" ca="1" si="155">IF(I287&gt;0,J287*100/I287,0)</f>
        <v>80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"),105)</f>
        <v>105</v>
      </c>
      <c r="K288" s="411">
        <f t="shared" ca="1" si="155"/>
        <v>70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3">
        <f t="shared" ref="K290:K291" ca="1" si="156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3">
        <f t="shared" ca="1" si="156"/>
        <v>100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"),105)</f>
        <v>105</v>
      </c>
      <c r="K293" s="163">
        <f t="shared" ref="K293:K294" ca="1" si="157">IF(I293&gt;0,J293*100/I293,0)</f>
        <v>70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"),105)</f>
        <v>105</v>
      </c>
      <c r="K294" s="385">
        <f t="shared" ca="1" si="157"/>
        <v>70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2220000</v>
      </c>
      <c r="N298" s="155">
        <f t="shared" ca="1" si="159"/>
        <v>1703359.28</v>
      </c>
      <c r="O298" s="155">
        <f t="shared" ref="O298:O306" ca="1" si="160">IF(L298&gt;0,N298*100/L298,0)</f>
        <v>76.727895495495503</v>
      </c>
      <c r="P298" s="155">
        <f t="shared" ref="P298:P306" ca="1" si="161">IF(M298&gt;0,N298*100/M298,0)</f>
        <v>76.727895495495503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2220000</v>
      </c>
      <c r="N300" s="45">
        <f t="shared" ca="1" si="163"/>
        <v>1703359.28</v>
      </c>
      <c r="O300" s="45">
        <f t="shared" ca="1" si="160"/>
        <v>76.727895495495503</v>
      </c>
      <c r="P300" s="45">
        <f t="shared" ca="1" si="161"/>
        <v>76.727895495495503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2220000</v>
      </c>
      <c r="N301" s="38">
        <f t="shared" ca="1" si="164"/>
        <v>1703359.28</v>
      </c>
      <c r="O301" s="38">
        <f t="shared" ca="1" si="160"/>
        <v>76.727895495495503</v>
      </c>
      <c r="P301" s="38">
        <f t="shared" ca="1" si="161"/>
        <v>76.727895495495503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"),2220000)</f>
        <v>2220000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"),1703359.28)</f>
        <v>1703359.28</v>
      </c>
      <c r="O303" s="45">
        <f t="shared" ca="1" si="160"/>
        <v>76.727895495495503</v>
      </c>
      <c r="P303" s="45">
        <f t="shared" ca="1" si="161"/>
        <v>76.727895495495503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8">
        <f t="shared" ref="K309:K312" ca="1" si="166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"),195)</f>
        <v>195</v>
      </c>
      <c r="K310" s="38">
        <f t="shared" ca="1" si="166"/>
        <v>86.666666666666671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"),70)</f>
        <v>70</v>
      </c>
      <c r="K311" s="38">
        <f t="shared" ca="1" si="166"/>
        <v>31.111111111111111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"),27)</f>
        <v>27</v>
      </c>
      <c r="K312" s="38">
        <f t="shared" ca="1" si="166"/>
        <v>60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5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459000</v>
      </c>
      <c r="N315" s="155">
        <f t="shared" ca="1" si="168"/>
        <v>312073.15000000002</v>
      </c>
      <c r="O315" s="155">
        <f t="shared" ref="O315:O323" ca="1" si="169">IF(L315&gt;0,N315*100/L315,0)</f>
        <v>67.989793028322453</v>
      </c>
      <c r="P315" s="155">
        <f t="shared" ref="P315:P323" ca="1" si="170">IF(M315&gt;0,N315*100/M315,0)</f>
        <v>67.989793028322453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459000</v>
      </c>
      <c r="N317" s="45">
        <f t="shared" ca="1" si="172"/>
        <v>312073.15000000002</v>
      </c>
      <c r="O317" s="45">
        <f t="shared" ca="1" si="169"/>
        <v>67.989793028322453</v>
      </c>
      <c r="P317" s="45">
        <f t="shared" ca="1" si="170"/>
        <v>67.989793028322453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459000</v>
      </c>
      <c r="N318" s="38">
        <f t="shared" ca="1" si="173"/>
        <v>312073.15000000002</v>
      </c>
      <c r="O318" s="38">
        <f t="shared" ca="1" si="169"/>
        <v>67.989793028322453</v>
      </c>
      <c r="P318" s="38">
        <f t="shared" ca="1" si="170"/>
        <v>67.989793028322453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"),459000)</f>
        <v>459000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"),312073.15)</f>
        <v>312073.15000000002</v>
      </c>
      <c r="O320" s="45">
        <f t="shared" ca="1" si="169"/>
        <v>67.989793028322453</v>
      </c>
      <c r="P320" s="45">
        <f t="shared" ca="1" si="170"/>
        <v>67.989793028322453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46036</v>
      </c>
      <c r="K327" s="445">
        <f ca="1">IF(I327&gt;0,J327*100/I327,0)</f>
        <v>158.19931271477662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7762300</v>
      </c>
      <c r="N328" s="155">
        <f t="shared" ca="1" si="175"/>
        <v>6070654.1699999999</v>
      </c>
      <c r="O328" s="155">
        <f t="shared" ref="O328:O336" ca="1" si="176">IF(L328&gt;0,N328*100/L328,0)</f>
        <v>78.363378039964886</v>
      </c>
      <c r="P328" s="155">
        <f t="shared" ref="P328:P336" ca="1" si="177">IF(M328&gt;0,N328*100/M328,0)</f>
        <v>78.206899630264232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7762300</v>
      </c>
      <c r="N330" s="45">
        <f t="shared" ca="1" si="179"/>
        <v>6070654.1699999999</v>
      </c>
      <c r="O330" s="45">
        <f t="shared" ca="1" si="176"/>
        <v>78.363378039964886</v>
      </c>
      <c r="P330" s="45">
        <f t="shared" ca="1" si="177"/>
        <v>78.206899630264232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5987300</v>
      </c>
      <c r="N331" s="38">
        <f t="shared" ca="1" si="180"/>
        <v>4295654.17</v>
      </c>
      <c r="O331" s="38">
        <f t="shared" ca="1" si="176"/>
        <v>72.38077390982005</v>
      </c>
      <c r="P331" s="38">
        <f t="shared" ca="1" si="177"/>
        <v>71.746098742337949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"),5987300)</f>
        <v>5987300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"),4295654.17)</f>
        <v>4295654.17</v>
      </c>
      <c r="O333" s="45">
        <f t="shared" ca="1" si="176"/>
        <v>72.38077390982005</v>
      </c>
      <c r="P333" s="45">
        <f t="shared" ca="1" si="177"/>
        <v>71.746098742337949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1775000</v>
      </c>
      <c r="N334" s="38">
        <f t="shared" ca="1" si="181"/>
        <v>1775000</v>
      </c>
      <c r="O334" s="38">
        <f t="shared" ca="1" si="176"/>
        <v>97.958057395143484</v>
      </c>
      <c r="P334" s="38">
        <f t="shared" ca="1" si="17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"),1775000)</f>
        <v>1775000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"),1775000)</f>
        <v>1775000</v>
      </c>
      <c r="O336" s="45">
        <f t="shared" ca="1" si="176"/>
        <v>97.958057395143484</v>
      </c>
      <c r="P336" s="45">
        <f t="shared" ca="1" si="17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"),41595)</f>
        <v>41595</v>
      </c>
      <c r="K338" s="38">
        <f ca="1">IF(I338&gt;0,J338*100/I338,0)</f>
        <v>142.93814432989691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"),76)</f>
        <v>76</v>
      </c>
      <c r="K340" s="38">
        <f ca="1">IF(I340&gt;0,J340*100/I340,0)</f>
        <v>95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"),4228)</f>
        <v>4228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"),85)</f>
        <v>85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"),128)</f>
        <v>128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14415815</v>
      </c>
      <c r="N345" s="155">
        <f t="shared" ca="1" si="182"/>
        <v>10742180.77</v>
      </c>
      <c r="O345" s="155">
        <f t="shared" ref="O345:O353" ca="1" si="183">IF(L345&gt;0,N345*100/L345,0)</f>
        <v>76.863440321644688</v>
      </c>
      <c r="P345" s="155">
        <f t="shared" ref="P345:P353" ca="1" si="184">IF(M345&gt;0,N345*100/M345,0)</f>
        <v>74.516638636109022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14415815</v>
      </c>
      <c r="N347" s="45">
        <f t="shared" ca="1" si="186"/>
        <v>10742180.77</v>
      </c>
      <c r="O347" s="45">
        <f t="shared" ca="1" si="183"/>
        <v>76.863440321644688</v>
      </c>
      <c r="P347" s="45">
        <f t="shared" ca="1" si="184"/>
        <v>74.516638636109022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12252375</v>
      </c>
      <c r="N348" s="38">
        <f t="shared" ca="1" si="187"/>
        <v>8578740.7699999996</v>
      </c>
      <c r="O348" s="38">
        <f t="shared" ca="1" si="183"/>
        <v>72.639818475406798</v>
      </c>
      <c r="P348" s="38">
        <f t="shared" ca="1" si="184"/>
        <v>70.016962180801684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"),12252375)</f>
        <v>12252375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"),8578740.77)</f>
        <v>8578740.7699999996</v>
      </c>
      <c r="O350" s="45">
        <f t="shared" ca="1" si="183"/>
        <v>72.639818475406798</v>
      </c>
      <c r="P350" s="45">
        <f t="shared" ca="1" si="184"/>
        <v>70.016962180801684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"),3395)</f>
        <v>3395</v>
      </c>
      <c r="J355" s="464">
        <f ca="1">J362</f>
        <v>1545</v>
      </c>
      <c r="K355" s="465">
        <f ca="1">IF(I355&gt;0,J355*100/I355,0)</f>
        <v>45.508100147275407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"),3065)</f>
        <v>3065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"),39211)</f>
        <v>39211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"),32968.62)</f>
        <v>32968.620000000003</v>
      </c>
      <c r="K359" s="38">
        <f t="shared" ca="1" si="189"/>
        <v>84.080028563413336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"),3395)</f>
        <v>3395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"),2208)</f>
        <v>2208</v>
      </c>
      <c r="K360" s="38">
        <f t="shared" ca="1" si="189"/>
        <v>65.036818851251837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"),24415.9699999999)</f>
        <v>24415.969999999899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"),3395)</f>
        <v>3395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"),1545)</f>
        <v>1545</v>
      </c>
      <c r="K362" s="38">
        <f t="shared" ca="1" si="189"/>
        <v>45.508100147275407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"),17437.2)</f>
        <v>17437.2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5225</v>
      </c>
      <c r="J364" s="478">
        <f t="shared" ca="1" si="190"/>
        <v>3877</v>
      </c>
      <c r="K364" s="479">
        <f t="shared" ca="1" si="189"/>
        <v>74.200956937799049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"),1238)</f>
        <v>1238</v>
      </c>
      <c r="J365" s="490">
        <f ca="1">J372</f>
        <v>793</v>
      </c>
      <c r="K365" s="491">
        <f t="shared" ca="1" si="189"/>
        <v>64.054927302100168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"),1220)</f>
        <v>1220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"),15363)</f>
        <v>15363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"),15861.42)</f>
        <v>15861.42</v>
      </c>
      <c r="K369" s="38">
        <f t="shared" ca="1" si="191"/>
        <v>103.24428822495607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"),1238)</f>
        <v>1238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"),991)</f>
        <v>991</v>
      </c>
      <c r="K370" s="38">
        <f t="shared" ca="1" si="191"/>
        <v>80.048465266558964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"),12587.7899999999)</f>
        <v>12587.789999999901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"),1238)</f>
        <v>1238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"),793)</f>
        <v>793</v>
      </c>
      <c r="K372" s="38">
        <f t="shared" ca="1" si="191"/>
        <v>64.054927302100168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"),10469.21)</f>
        <v>10469.209999999999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"),3987)</f>
        <v>3987</v>
      </c>
      <c r="J374" s="490">
        <f ca="1">J381</f>
        <v>3084</v>
      </c>
      <c r="K374" s="491">
        <f t="shared" ca="1" si="191"/>
        <v>77.351392024078251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"),1845)</f>
        <v>1845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"),23848)</f>
        <v>23848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"),17107.2)</f>
        <v>17107.2</v>
      </c>
      <c r="K378" s="497">
        <f t="shared" ca="1" si="192"/>
        <v>71.73431734317343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"),3987)</f>
        <v>3987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"),3486)</f>
        <v>3486</v>
      </c>
      <c r="K379" s="497">
        <f t="shared" ca="1" si="192"/>
        <v>87.434161023325814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"),47127.9999999999)</f>
        <v>47127.999999999898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"),3987)</f>
        <v>3987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"),3084)</f>
        <v>3084</v>
      </c>
      <c r="K381" s="497">
        <f t="shared" ca="1" si="192"/>
        <v>77.351392024078251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"),43574.74)</f>
        <v>43574.74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98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501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"),190)</f>
        <v>190</v>
      </c>
      <c r="K385" s="502">
        <f ca="1">IF(I385&gt;0,J385*100/I385,0)</f>
        <v>62.913907284768214</v>
      </c>
      <c r="L385" s="385"/>
      <c r="M385" s="385"/>
      <c r="N385" s="385"/>
      <c r="O385" s="385"/>
      <c r="P385" s="385"/>
    </row>
    <row r="386" spans="1:26" ht="20.25" hidden="1" customHeight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hidden="1" customHeight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hidden="1" customHeight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3">I400</f>
        <v>0</v>
      </c>
      <c r="J388" s="522">
        <f t="shared" ca="1" si="193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2">I412</f>
        <v>0</v>
      </c>
      <c r="J401" s="522">
        <f t="shared" ca="1" si="202"/>
        <v>0</v>
      </c>
      <c r="K401" s="523">
        <f t="shared" ca="1" si="201"/>
        <v>0</v>
      </c>
      <c r="L401" s="524"/>
      <c r="M401" s="524"/>
      <c r="N401" s="524"/>
      <c r="O401" s="524"/>
      <c r="P401" s="524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178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0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1">
        <f t="shared" ca="1" si="210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1">L419+L444+L467+L502+L523+L544+L629+L655+L685+L737+L754+L770+L786+L805</f>
        <v>23496207</v>
      </c>
      <c r="M414" s="549">
        <f t="shared" ca="1" si="211"/>
        <v>23423371</v>
      </c>
      <c r="N414" s="549">
        <f t="shared" ca="1" si="211"/>
        <v>14609007.259999977</v>
      </c>
      <c r="O414" s="549">
        <f ca="1">IF(L414&gt;0,N414*100/L414,0)</f>
        <v>62.176023815248044</v>
      </c>
      <c r="P414" s="549">
        <f ca="1">IF(M414&gt;0,N414*100/M414,0)</f>
        <v>62.369362889739392</v>
      </c>
    </row>
    <row r="415" spans="1:26" ht="20.25" customHeight="1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2">I433</f>
        <v>585</v>
      </c>
      <c r="J417" s="565">
        <f t="shared" ca="1" si="212"/>
        <v>550</v>
      </c>
      <c r="K417" s="566">
        <f t="shared" ref="K417:K418" ca="1" si="213">IF(I417&gt;0,J417*100/I417,0)</f>
        <v>94.017094017094024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4">I434</f>
        <v>27</v>
      </c>
      <c r="J418" s="565">
        <f t="shared" ca="1" si="214"/>
        <v>29</v>
      </c>
      <c r="K418" s="566">
        <f t="shared" ca="1" si="213"/>
        <v>107.4074074074074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856" t="s">
        <v>17</v>
      </c>
      <c r="E419" s="857"/>
      <c r="F419" s="857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ca="1" si="215"/>
        <v>2244470</v>
      </c>
      <c r="N419" s="155">
        <f t="shared" ca="1" si="215"/>
        <v>1929926.6400000001</v>
      </c>
      <c r="O419" s="155">
        <f t="shared" ref="O419:O424" ca="1" si="216">IF(L419&gt;0,N419*100/L419,0)</f>
        <v>85.124919613438777</v>
      </c>
      <c r="P419" s="155">
        <f t="shared" ref="P419:P424" ca="1" si="217">IF(M419&gt;0,N419*100/M419,0)</f>
        <v>85.985851448226086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ca="1" si="219"/>
        <v>2244470</v>
      </c>
      <c r="N421" s="45">
        <f t="shared" ca="1" si="219"/>
        <v>1929926.6400000001</v>
      </c>
      <c r="O421" s="45">
        <f t="shared" ca="1" si="216"/>
        <v>85.124919613438777</v>
      </c>
      <c r="P421" s="45">
        <f t="shared" ca="1" si="217"/>
        <v>85.985851448226086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ca="1" si="220"/>
        <v>2244470</v>
      </c>
      <c r="N422" s="38">
        <f t="shared" ca="1" si="220"/>
        <v>1929926.6400000001</v>
      </c>
      <c r="O422" s="38">
        <f t="shared" ca="1" si="216"/>
        <v>85.124919613438777</v>
      </c>
      <c r="P422" s="38">
        <f t="shared" ca="1" si="217"/>
        <v>85.985851448226086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"),2244470)</f>
        <v>2244470</v>
      </c>
      <c r="N424" s="45">
        <f ca="1">N425+N426+N427+N428</f>
        <v>1929926.6400000001</v>
      </c>
      <c r="O424" s="45">
        <f t="shared" ca="1" si="216"/>
        <v>85.124919613438777</v>
      </c>
      <c r="P424" s="45">
        <f t="shared" ca="1" si="217"/>
        <v>85.985851448226086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"),1538614)</f>
        <v>1538614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"),9900)</f>
        <v>9900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5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"),381412.64)</f>
        <v>381412.64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"),550)</f>
        <v>550</v>
      </c>
      <c r="K433" s="195">
        <f t="shared" ref="K433:K435" ca="1" si="224">IF(I433&gt;0,J433*100/I433,0)</f>
        <v>94.017094017094024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29</v>
      </c>
      <c r="K434" s="195">
        <f t="shared" ca="1" si="224"/>
        <v>107.4074074074074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9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"),586)</f>
        <v>586</v>
      </c>
      <c r="K435" s="497">
        <f t="shared" ca="1" si="224"/>
        <v>100.17094017094017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9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7">
        <f t="shared" ref="K437:K443" ca="1" si="226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8">
        <f t="shared" ca="1" si="226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9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7">
        <f t="shared" ca="1" si="226"/>
        <v>104.26666666666667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8">
        <f t="shared" ca="1" si="226"/>
        <v>109.09090909090909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7">I460</f>
        <v>330</v>
      </c>
      <c r="J442" s="585">
        <f t="shared" ca="1" si="227"/>
        <v>330</v>
      </c>
      <c r="K442" s="586">
        <f t="shared" ca="1" si="226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8">I462</f>
        <v>675</v>
      </c>
      <c r="J443" s="565">
        <f t="shared" ca="1" si="228"/>
        <v>615</v>
      </c>
      <c r="K443" s="566">
        <f t="shared" ca="1" si="226"/>
        <v>91.111111111111114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58" t="s">
        <v>17</v>
      </c>
      <c r="E444" s="852"/>
      <c r="F444" s="852"/>
      <c r="G444" s="189"/>
      <c r="H444" s="593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ca="1" si="229"/>
        <v>2180560</v>
      </c>
      <c r="N444" s="195">
        <f t="shared" ca="1" si="229"/>
        <v>1638786.24</v>
      </c>
      <c r="O444" s="195">
        <f t="shared" ref="O444:O449" ca="1" si="230">IF(L444&gt;0,N444*100/L444,0)</f>
        <v>74.806647750304009</v>
      </c>
      <c r="P444" s="195">
        <f t="shared" ref="P444:P449" ca="1" si="231">IF(M444&gt;0,N444*100/M444,0)</f>
        <v>75.154375022929884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185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186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ca="1" si="233"/>
        <v>2180560</v>
      </c>
      <c r="N446" s="45">
        <f t="shared" ca="1" si="233"/>
        <v>1638786.24</v>
      </c>
      <c r="O446" s="45">
        <f t="shared" ca="1" si="230"/>
        <v>74.806647750304009</v>
      </c>
      <c r="P446" s="45">
        <f t="shared" ca="1" si="231"/>
        <v>75.154375022929884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ca="1" si="234"/>
        <v>2180560</v>
      </c>
      <c r="N447" s="38">
        <f t="shared" ca="1" si="234"/>
        <v>1638786.24</v>
      </c>
      <c r="O447" s="38">
        <f t="shared" ca="1" si="230"/>
        <v>74.806647750304009</v>
      </c>
      <c r="P447" s="38">
        <f t="shared" ca="1" si="231"/>
        <v>75.154375022929884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185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186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"),2180560)</f>
        <v>2180560</v>
      </c>
      <c r="N449" s="45">
        <f ca="1">N450+N451+N452+N453</f>
        <v>1638786.24</v>
      </c>
      <c r="O449" s="45">
        <f t="shared" ca="1" si="230"/>
        <v>74.806647750304009</v>
      </c>
      <c r="P449" s="45">
        <f t="shared" ca="1" si="231"/>
        <v>75.154375022929884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"),548140)</f>
        <v>548140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"),538520)</f>
        <v>538520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"),374846.24)</f>
        <v>374846.24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"),177280)</f>
        <v>177280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201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202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203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204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205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"),615)</f>
        <v>615</v>
      </c>
      <c r="K462" s="38">
        <f ca="1">IF(I462&gt;0,J462*100/I462,0)</f>
        <v>91.111111111111114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"),355)</f>
        <v>355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"),215)</f>
        <v>215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5">
        <f ca="1">J485+J489+J492</f>
        <v>842</v>
      </c>
      <c r="K465" s="586">
        <f t="shared" ref="K465:K466" ca="1" si="238">IF(I465&gt;0,J465*100/I465,0)</f>
        <v>102.06060606060606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5">
        <f ca="1">J495+J498</f>
        <v>4400</v>
      </c>
      <c r="K466" s="566">
        <f t="shared" ca="1" si="238"/>
        <v>54.320987654320987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58" t="s">
        <v>17</v>
      </c>
      <c r="E467" s="852"/>
      <c r="F467" s="852"/>
      <c r="G467" s="189"/>
      <c r="H467" s="593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ca="1" si="239"/>
        <v>7035480</v>
      </c>
      <c r="N467" s="195">
        <f t="shared" ca="1" si="239"/>
        <v>4514522.4299999988</v>
      </c>
      <c r="O467" s="195">
        <f t="shared" ref="O467:O472" ca="1" si="240">IF(L467&gt;0,N467*100/L467,0)</f>
        <v>64.167937795289006</v>
      </c>
      <c r="P467" s="195">
        <f t="shared" ref="P467:P472" ca="1" si="241">IF(M467&gt;0,N467*100/M467,0)</f>
        <v>64.167937795289006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185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186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ca="1" si="243"/>
        <v>7035480</v>
      </c>
      <c r="N469" s="45">
        <f t="shared" ca="1" si="243"/>
        <v>4514522.4299999988</v>
      </c>
      <c r="O469" s="45">
        <f t="shared" ca="1" si="240"/>
        <v>64.167937795289006</v>
      </c>
      <c r="P469" s="45">
        <f t="shared" ca="1" si="241"/>
        <v>64.167937795289006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ca="1" si="244"/>
        <v>7035480</v>
      </c>
      <c r="N470" s="38">
        <f t="shared" ca="1" si="244"/>
        <v>4514522.4299999988</v>
      </c>
      <c r="O470" s="38">
        <f t="shared" ca="1" si="240"/>
        <v>64.167937795289006</v>
      </c>
      <c r="P470" s="38">
        <f t="shared" ca="1" si="241"/>
        <v>64.167937795289006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185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186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5">
        <f ca="1">N473+N474+N475+N476</f>
        <v>4514522.4299999988</v>
      </c>
      <c r="O472" s="45">
        <f t="shared" ca="1" si="240"/>
        <v>64.167937795289006</v>
      </c>
      <c r="P472" s="45">
        <f t="shared" ca="1" si="241"/>
        <v>64.167937795289006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"),1040516)</f>
        <v>1040516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"),2617140)</f>
        <v>2617140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"),591033.35)</f>
        <v>591033.35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"),265833.079999999)</f>
        <v>265833.07999999903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207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208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209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"),7240)</f>
        <v>7240</v>
      </c>
      <c r="K483" s="38">
        <f ca="1">IF(I483&gt;0,J483*100/I483,0)</f>
        <v>99.314128943758575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"),425)</f>
        <v>425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211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8">
        <f ca="1">IF(I485&gt;0,J485*100/I485,0)</f>
        <v>104.25240054869684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209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8">
        <f ca="1">IF(I487&gt;0,J487*100/I487,0)</f>
        <v>81.481481481481481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"),65)</f>
        <v>65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213</v>
      </c>
      <c r="G489" s="175"/>
      <c r="H489" s="618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8">
        <f ca="1">IF(I489&gt;0,J489*100/I489,0)</f>
        <v>83.950617283950621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"),9)</f>
        <v>9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215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"),14)</f>
        <v>14</v>
      </c>
      <c r="K492" s="38">
        <f ca="1">IF(I492&gt;0,J492*100/I492,0)</f>
        <v>93.333333333333329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208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"),3960)</f>
        <v>3960</v>
      </c>
      <c r="K495" s="38">
        <f ca="1">IF(I495&gt;0,J495*100/I495,0)</f>
        <v>54.320987654320987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"),2196)</f>
        <v>2196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218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"),440)</f>
        <v>440</v>
      </c>
      <c r="K498" s="38">
        <f ca="1">IF(I498&gt;0,J498*100/I498,0)</f>
        <v>54.320987654320987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"),244)</f>
        <v>244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8">J516</f>
        <v>0</v>
      </c>
      <c r="K500" s="629">
        <f t="shared" ref="K500:K501" si="249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8"/>
        <v>0</v>
      </c>
      <c r="K501" s="638">
        <f t="shared" si="249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59" t="s">
        <v>17</v>
      </c>
      <c r="E502" s="852"/>
      <c r="F502" s="852"/>
      <c r="G502" s="598"/>
      <c r="H502" s="641" t="s">
        <v>12</v>
      </c>
      <c r="I502" s="44"/>
      <c r="J502" s="44"/>
      <c r="K502" s="45"/>
      <c r="L502" s="642">
        <f t="shared" ref="L502:N502" si="250">L503+L504</f>
        <v>0</v>
      </c>
      <c r="M502" s="642">
        <f t="shared" si="250"/>
        <v>0</v>
      </c>
      <c r="N502" s="642">
        <f t="shared" si="250"/>
        <v>0</v>
      </c>
      <c r="O502" s="642">
        <f t="shared" ref="O502:O507" si="251">IF(L502&gt;0,N502*100/L502,0)</f>
        <v>0</v>
      </c>
      <c r="P502" s="642">
        <f t="shared" ref="P502:P507" si="25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185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186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3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185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186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4"/>
      <c r="B508" s="600"/>
      <c r="C508" s="595"/>
      <c r="D508" s="595"/>
      <c r="E508" s="595"/>
      <c r="F508" s="597" t="s">
        <v>187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4"/>
      <c r="B509" s="600"/>
      <c r="C509" s="595"/>
      <c r="D509" s="595"/>
      <c r="E509" s="595"/>
      <c r="F509" s="597" t="s">
        <v>188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4"/>
      <c r="B510" s="600"/>
      <c r="C510" s="600"/>
      <c r="D510" s="600"/>
      <c r="E510" s="595"/>
      <c r="F510" s="597" t="s">
        <v>189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4"/>
      <c r="B511" s="600"/>
      <c r="C511" s="600"/>
      <c r="D511" s="600"/>
      <c r="E511" s="595"/>
      <c r="F511" s="597" t="s">
        <v>190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3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5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222</v>
      </c>
      <c r="E516" s="596"/>
      <c r="F516" s="596"/>
      <c r="G516" s="366"/>
      <c r="H516" s="648" t="s">
        <v>109</v>
      </c>
      <c r="I516" s="44"/>
      <c r="J516" s="612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223</v>
      </c>
      <c r="E517" s="596"/>
      <c r="F517" s="596"/>
      <c r="G517" s="366"/>
      <c r="H517" s="649" t="s">
        <v>35</v>
      </c>
      <c r="I517" s="650"/>
      <c r="J517" s="650">
        <f>J518+J519</f>
        <v>0</v>
      </c>
      <c r="K517" s="651">
        <f t="shared" si="259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224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225</v>
      </c>
      <c r="F519" s="596"/>
      <c r="G519" s="366"/>
      <c r="H519" s="648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20.25" customHeight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671">
        <f t="shared" ref="I522:J522" ca="1" si="260">I537</f>
        <v>150</v>
      </c>
      <c r="J522" s="671">
        <f t="shared" ca="1" si="260"/>
        <v>150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58" t="s">
        <v>17</v>
      </c>
      <c r="E523" s="852"/>
      <c r="F523" s="852"/>
      <c r="G523" s="189"/>
      <c r="H523" s="593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ca="1" si="261"/>
        <v>1282380</v>
      </c>
      <c r="N523" s="195">
        <f t="shared" ca="1" si="261"/>
        <v>1219663</v>
      </c>
      <c r="O523" s="195">
        <f t="shared" ref="O523:O528" ca="1" si="262">IF(L523&gt;0,N523*100/L523,0)</f>
        <v>95.109327968308932</v>
      </c>
      <c r="P523" s="195">
        <f t="shared" ref="P523:P528" ca="1" si="263">IF(M523&gt;0,N523*100/M523,0)</f>
        <v>95.109327968308932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185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186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ca="1" si="265"/>
        <v>1282380</v>
      </c>
      <c r="N525" s="45">
        <f t="shared" ca="1" si="265"/>
        <v>1219663</v>
      </c>
      <c r="O525" s="45">
        <f t="shared" ca="1" si="262"/>
        <v>95.109327968308932</v>
      </c>
      <c r="P525" s="45">
        <f t="shared" ca="1" si="263"/>
        <v>95.109327968308932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ca="1" si="266"/>
        <v>1282380</v>
      </c>
      <c r="N526" s="38">
        <f t="shared" ca="1" si="266"/>
        <v>1219663</v>
      </c>
      <c r="O526" s="38">
        <f t="shared" ca="1" si="262"/>
        <v>95.109327968308932</v>
      </c>
      <c r="P526" s="38">
        <f t="shared" ca="1" si="263"/>
        <v>95.109327968308932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185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186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"),1282380)</f>
        <v>1282380</v>
      </c>
      <c r="N528" s="45">
        <f ca="1">N529+N530+N531+N532</f>
        <v>1219663</v>
      </c>
      <c r="O528" s="45">
        <f t="shared" ca="1" si="262"/>
        <v>95.109327968308932</v>
      </c>
      <c r="P528" s="45">
        <f t="shared" ca="1" si="263"/>
        <v>95.109327968308932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"),399248)</f>
        <v>399248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"),750000)</f>
        <v>750000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"),70415)</f>
        <v>70415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4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5" t="s">
        <v>228</v>
      </c>
      <c r="E537" s="571"/>
      <c r="F537" s="571"/>
      <c r="G537" s="189"/>
      <c r="H537" s="36" t="s">
        <v>35</v>
      </c>
      <c r="I537" s="676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8">
        <f t="shared" ref="K537:K543" ca="1" si="270">IF(I537&gt;0,J537*100/I537,0)</f>
        <v>100</v>
      </c>
      <c r="L537" s="38"/>
      <c r="M537" s="38"/>
      <c r="N537" s="38"/>
      <c r="O537" s="38"/>
      <c r="P537" s="3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20.25" customHeight="1">
      <c r="A538" s="569"/>
      <c r="B538" s="570"/>
      <c r="C538" s="571"/>
      <c r="D538" s="572"/>
      <c r="E538" s="678" t="s">
        <v>229</v>
      </c>
      <c r="F538" s="571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20.25" customHeight="1">
      <c r="A539" s="569"/>
      <c r="B539" s="570"/>
      <c r="C539" s="571"/>
      <c r="D539" s="572"/>
      <c r="E539" s="678" t="s">
        <v>230</v>
      </c>
      <c r="F539" s="571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20.25" customHeight="1">
      <c r="A540" s="569"/>
      <c r="B540" s="570"/>
      <c r="C540" s="571"/>
      <c r="D540" s="572"/>
      <c r="E540" s="678" t="s">
        <v>231</v>
      </c>
      <c r="F540" s="571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20.25" customHeight="1">
      <c r="A541" s="569"/>
      <c r="B541" s="570"/>
      <c r="C541" s="571"/>
      <c r="D541" s="572"/>
      <c r="E541" s="679" t="s">
        <v>232</v>
      </c>
      <c r="F541" s="571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8">
        <f t="shared" ca="1" si="270"/>
        <v>100</v>
      </c>
      <c r="L541" s="38"/>
      <c r="M541" s="38"/>
      <c r="N541" s="38"/>
      <c r="O541" s="38"/>
      <c r="P541" s="3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"),150)</f>
        <v>150</v>
      </c>
      <c r="K542" s="38">
        <f t="shared" ca="1" si="270"/>
        <v>100</v>
      </c>
      <c r="L542" s="38"/>
      <c r="M542" s="38"/>
      <c r="N542" s="38"/>
      <c r="O542" s="38"/>
      <c r="P542" s="3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20.25" customHeight="1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71">I559</f>
        <v>264163</v>
      </c>
      <c r="J543" s="682">
        <f t="shared" ca="1" si="271"/>
        <v>75253.492499999993</v>
      </c>
      <c r="K543" s="683">
        <f t="shared" ca="1" si="270"/>
        <v>28.487521908821442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4"/>
      <c r="B544" s="685"/>
      <c r="C544" s="685" t="s">
        <v>16</v>
      </c>
      <c r="D544" s="860" t="s">
        <v>17</v>
      </c>
      <c r="E544" s="857"/>
      <c r="F544" s="857"/>
      <c r="G544" s="686"/>
      <c r="H544" s="275" t="s">
        <v>12</v>
      </c>
      <c r="I544" s="153"/>
      <c r="J544" s="153"/>
      <c r="K544" s="154"/>
      <c r="L544" s="155">
        <f t="shared" ref="L544:N544" ca="1" si="272">L545+L546</f>
        <v>6053541</v>
      </c>
      <c r="M544" s="155">
        <f t="shared" ca="1" si="272"/>
        <v>6013541</v>
      </c>
      <c r="N544" s="155">
        <f t="shared" ca="1" si="272"/>
        <v>3430366.3599999798</v>
      </c>
      <c r="O544" s="155">
        <f t="shared" ref="O544:O549" ca="1" si="273">IF(L544&gt;0,N544*100/L544,0)</f>
        <v>56.667103766208569</v>
      </c>
      <c r="P544" s="155">
        <f t="shared" ref="P544:P549" ca="1" si="274">IF(M544&gt;0,N544*100/M544,0)</f>
        <v>57.044033789741846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185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186</v>
      </c>
      <c r="F546" s="595"/>
      <c r="G546" s="598"/>
      <c r="H546" s="165" t="s">
        <v>12</v>
      </c>
      <c r="I546" s="44"/>
      <c r="J546" s="44"/>
      <c r="K546" s="45"/>
      <c r="L546" s="45">
        <f t="shared" ca="1" si="275"/>
        <v>6053541</v>
      </c>
      <c r="M546" s="45">
        <f t="shared" ref="M546:N546" ca="1" si="277">M549+M556</f>
        <v>6013541</v>
      </c>
      <c r="N546" s="45">
        <f t="shared" ca="1" si="277"/>
        <v>3430366.3599999798</v>
      </c>
      <c r="O546" s="45">
        <f t="shared" ca="1" si="273"/>
        <v>56.667103766208569</v>
      </c>
      <c r="P546" s="45">
        <f t="shared" ca="1" si="274"/>
        <v>57.044033789741846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6053541</v>
      </c>
      <c r="M547" s="38">
        <f t="shared" ca="1" si="278"/>
        <v>6013541</v>
      </c>
      <c r="N547" s="38">
        <f t="shared" ca="1" si="278"/>
        <v>3430366.3599999798</v>
      </c>
      <c r="O547" s="38">
        <f t="shared" ca="1" si="273"/>
        <v>56.667103766208569</v>
      </c>
      <c r="P547" s="38">
        <f t="shared" ca="1" si="274"/>
        <v>57.044033789741846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185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186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"),6053541)</f>
        <v>6053541</v>
      </c>
      <c r="M549" s="93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"),6013541)</f>
        <v>6013541</v>
      </c>
      <c r="N549" s="45">
        <f ca="1">N550+N551+N552+N553+N554</f>
        <v>3430366.3599999798</v>
      </c>
      <c r="O549" s="45">
        <f t="shared" ca="1" si="273"/>
        <v>56.667103766208569</v>
      </c>
      <c r="P549" s="45">
        <f t="shared" ca="1" si="274"/>
        <v>57.044033789741846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"),170115)</f>
        <v>170115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"),1390910.80999999)</f>
        <v>1390910.80999999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"),1869340.54999999)</f>
        <v>1869340.54999999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4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671">
        <f t="shared" ref="I559:J559" ca="1" si="282">I576</f>
        <v>264163</v>
      </c>
      <c r="J559" s="671">
        <f t="shared" ca="1" si="282"/>
        <v>75253.492499999993</v>
      </c>
      <c r="K559" s="672">
        <f t="shared" ref="K559:K561" ca="1" si="283">IF(I559&gt;0,J559*100/I559,0)</f>
        <v>28.487521908821442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236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264163.10249999998</v>
      </c>
      <c r="K560" s="411">
        <f t="shared" ca="1" si="283"/>
        <v>100.00003880180039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21507</v>
      </c>
      <c r="K561" s="411">
        <f t="shared" ca="1" si="283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237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238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239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240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264165.43999999901</v>
      </c>
      <c r="K568" s="411">
        <f t="shared" ref="K568:K569" ca="1" si="286">IF(I568&gt;0,J568*100/I568,0)</f>
        <v>100.00092367212632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21507</v>
      </c>
      <c r="K569" s="411">
        <f t="shared" ca="1" si="286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241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"),212841.479999999)</f>
        <v>212841.47999999899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"),17840)</f>
        <v>17840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242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"),39935.31)</f>
        <v>39935.31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"),2850)</f>
        <v>2850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243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"),11388.65)</f>
        <v>11388.65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"),817)</f>
        <v>817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244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75253.492499999993</v>
      </c>
      <c r="K576" s="411">
        <f t="shared" ref="K576:K577" ca="1" si="288">IF(I576&gt;0,J576*100/I576,0)</f>
        <v>28.487521908821442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5676</v>
      </c>
      <c r="K577" s="411">
        <f t="shared" ca="1" si="288"/>
        <v>26.39140744873762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245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"),67004)</f>
        <v>67004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"),5110)</f>
        <v>5110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246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"),6897.4925)</f>
        <v>6897.4925000000003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"),460)</f>
        <v>460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247</v>
      </c>
      <c r="E582" s="614"/>
      <c r="F582" s="614"/>
      <c r="G582" s="175"/>
      <c r="H582" s="182" t="s">
        <v>46</v>
      </c>
      <c r="I582" s="162"/>
      <c r="J582" s="194">
        <f t="shared" ref="J582:J583" ca="1" si="289">J584+J586</f>
        <v>1352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9"/>
        <v>106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248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"),1352)</f>
        <v>1352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"),106)</f>
        <v>106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249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250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251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90">I593</f>
        <v>81061</v>
      </c>
      <c r="J592" s="671">
        <f t="shared" ca="1" si="290"/>
        <v>31966.977499999997</v>
      </c>
      <c r="K592" s="672">
        <f t="shared" ref="K592:K594" ca="1" si="291">IF(I592&gt;0,J592*100/I592,0)</f>
        <v>39.435705826476351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253</v>
      </c>
      <c r="D593" s="604"/>
      <c r="E593" s="604"/>
      <c r="F593" s="614"/>
      <c r="G593" s="175"/>
      <c r="H593" s="192" t="s">
        <v>46</v>
      </c>
      <c r="I593" s="699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31966.977499999997</v>
      </c>
      <c r="K593" s="411">
        <f t="shared" ca="1" si="291"/>
        <v>39.435705826476351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2053</v>
      </c>
      <c r="K594" s="411">
        <f t="shared" ca="1" si="291"/>
        <v>38.323688631696847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254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3">J597+J599</f>
        <v>28361.85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3"/>
        <v>1767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255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"),20908.35)</f>
        <v>20908.349999999999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"),1414)</f>
        <v>1414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256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"),7453.5)</f>
        <v>7453.5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"),353)</f>
        <v>353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257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"),63)</f>
        <v>63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"),2)</f>
        <v>2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700" t="s">
        <v>258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4">J605+J607</f>
        <v>3429.1275000000001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4"/>
        <v>269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700" t="s">
        <v>259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"),3426.1275)</f>
        <v>3426.1275000000001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"),265)</f>
        <v>265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700" t="s">
        <v>260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"),3)</f>
        <v>3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"),4)</f>
        <v>4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261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"),176)</f>
        <v>176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"),17)</f>
        <v>17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671">
        <f>J614+J616</f>
        <v>0</v>
      </c>
      <c r="K611" s="672">
        <f t="shared" ref="K611:K613" si="295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4"/>
      <c r="B612" s="705"/>
      <c r="C612" s="706" t="s">
        <v>263</v>
      </c>
      <c r="D612" s="705"/>
      <c r="E612" s="705"/>
      <c r="F612" s="707"/>
      <c r="G612" s="708"/>
      <c r="H612" s="709" t="s">
        <v>46</v>
      </c>
      <c r="I612" s="710">
        <v>0</v>
      </c>
      <c r="J612" s="711">
        <f t="shared" ref="J612:J613" si="296">J614+J616</f>
        <v>0</v>
      </c>
      <c r="K612" s="712">
        <f t="shared" si="295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4"/>
      <c r="B613" s="705"/>
      <c r="C613" s="714" t="s">
        <v>264</v>
      </c>
      <c r="D613" s="705"/>
      <c r="E613" s="705"/>
      <c r="F613" s="707"/>
      <c r="G613" s="708"/>
      <c r="H613" s="709" t="s">
        <v>34</v>
      </c>
      <c r="I613" s="710">
        <v>0</v>
      </c>
      <c r="J613" s="711">
        <f t="shared" si="296"/>
        <v>0</v>
      </c>
      <c r="K613" s="712">
        <f t="shared" si="295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5" t="s">
        <v>265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6" t="s">
        <v>265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6" t="s">
        <v>266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7"/>
      <c r="B620" s="718"/>
      <c r="C620" s="719" t="s">
        <v>267</v>
      </c>
      <c r="D620" s="718"/>
      <c r="E620" s="718"/>
      <c r="F620" s="720"/>
      <c r="G620" s="721"/>
      <c r="H620" s="722" t="s">
        <v>46</v>
      </c>
      <c r="I620" s="723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3">
        <f t="shared" ref="J620:J621" ca="1" si="297">J622+J624+J626</f>
        <v>5</v>
      </c>
      <c r="K620" s="724">
        <f t="shared" ref="K620:K621" ca="1" si="298">IF(I620&gt;0,J620*100/I620,0)</f>
        <v>0.52854122621564481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7"/>
      <c r="B621" s="718"/>
      <c r="C621" s="726" t="s">
        <v>268</v>
      </c>
      <c r="D621" s="718"/>
      <c r="E621" s="718"/>
      <c r="F621" s="720"/>
      <c r="G621" s="721"/>
      <c r="H621" s="722" t="s">
        <v>34</v>
      </c>
      <c r="I621" s="723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3">
        <f t="shared" ca="1" si="297"/>
        <v>8</v>
      </c>
      <c r="K621" s="724">
        <f t="shared" ca="1" si="298"/>
        <v>13.559322033898304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269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"),1)</f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"),1)</f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265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270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99">I651</f>
        <v>1465</v>
      </c>
      <c r="J628" s="736">
        <f t="shared" ca="1" si="299"/>
        <v>117</v>
      </c>
      <c r="K628" s="737">
        <f ca="1">IF(I628&gt;0,J628*100/I628,0)</f>
        <v>7.986348122866894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58" t="s">
        <v>17</v>
      </c>
      <c r="E629" s="852"/>
      <c r="F629" s="852"/>
      <c r="G629" s="189"/>
      <c r="H629" s="593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ca="1" si="300"/>
        <v>3807230</v>
      </c>
      <c r="N629" s="195">
        <f t="shared" ca="1" si="300"/>
        <v>1591788.94</v>
      </c>
      <c r="O629" s="195">
        <f t="shared" ref="O629:O634" ca="1" si="301">IF(L629&gt;0,N629*100/L629,0)</f>
        <v>41.809634301053521</v>
      </c>
      <c r="P629" s="195">
        <f t="shared" ref="P629:P634" ca="1" si="302">IF(M629&gt;0,N629*100/M629,0)</f>
        <v>41.809634301053521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185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186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ca="1" si="304"/>
        <v>3807230</v>
      </c>
      <c r="N631" s="45">
        <f t="shared" ca="1" si="304"/>
        <v>1591788.94</v>
      </c>
      <c r="O631" s="45">
        <f t="shared" ca="1" si="301"/>
        <v>41.809634301053521</v>
      </c>
      <c r="P631" s="45">
        <f t="shared" ca="1" si="302"/>
        <v>41.809634301053521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ca="1" si="305"/>
        <v>3807230</v>
      </c>
      <c r="N632" s="38">
        <f t="shared" ca="1" si="305"/>
        <v>1591788.94</v>
      </c>
      <c r="O632" s="38">
        <f t="shared" ca="1" si="301"/>
        <v>41.809634301053521</v>
      </c>
      <c r="P632" s="38">
        <f t="shared" ca="1" si="302"/>
        <v>41.809634301053521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185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186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"),3807230)</f>
        <v>3807230</v>
      </c>
      <c r="N634" s="45">
        <f ca="1">N635+N636+N637+N638</f>
        <v>1591788.94</v>
      </c>
      <c r="O634" s="45">
        <f t="shared" ca="1" si="301"/>
        <v>41.809634301053521</v>
      </c>
      <c r="P634" s="45">
        <f t="shared" ca="1" si="302"/>
        <v>41.809634301053521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"),0)</f>
        <v>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"),36305)</f>
        <v>36305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"),723165.1)</f>
        <v>723165.1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"),832318.84)</f>
        <v>832318.84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4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9"/>
      <c r="B643" s="570"/>
      <c r="C643" s="571"/>
      <c r="D643" s="614"/>
      <c r="E643" s="740" t="s">
        <v>272</v>
      </c>
      <c r="F643" s="614"/>
      <c r="G643" s="175"/>
      <c r="H643" s="448" t="s">
        <v>273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"),9)</f>
        <v>9</v>
      </c>
      <c r="K643" s="163">
        <f t="shared" ref="K643:K652" ca="1" si="309">IF(I643&gt;0,J643*100/I643,0)</f>
        <v>90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9"/>
      <c r="B644" s="570"/>
      <c r="C644" s="571"/>
      <c r="D644" s="614"/>
      <c r="E644" s="740" t="s">
        <v>274</v>
      </c>
      <c r="F644" s="614"/>
      <c r="G644" s="175"/>
      <c r="H644" s="448" t="s">
        <v>275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"),7)</f>
        <v>7</v>
      </c>
      <c r="K644" s="163">
        <f t="shared" ca="1" si="309"/>
        <v>70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9"/>
      <c r="B645" s="570"/>
      <c r="C645" s="571"/>
      <c r="D645" s="614"/>
      <c r="E645" s="741" t="s">
        <v>276</v>
      </c>
      <c r="F645" s="614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"),551)</f>
        <v>551</v>
      </c>
      <c r="K645" s="163">
        <f t="shared" ca="1" si="309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9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"),452.039999999999)</f>
        <v>452.039999999999</v>
      </c>
      <c r="K646" s="38">
        <f t="shared" si="309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9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"),352)</f>
        <v>352</v>
      </c>
      <c r="K647" s="163">
        <f t="shared" ca="1" si="309"/>
        <v>24.02730375426621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9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"),300.88)</f>
        <v>300.88</v>
      </c>
      <c r="K648" s="38">
        <f t="shared" si="309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9"/>
      <c r="B649" s="570"/>
      <c r="C649" s="571"/>
      <c r="D649" s="614"/>
      <c r="E649" s="263" t="s">
        <v>277</v>
      </c>
      <c r="F649" s="614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"),189)</f>
        <v>189</v>
      </c>
      <c r="K649" s="163">
        <f t="shared" ca="1" si="309"/>
        <v>12.901023890784982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9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"),145.89)</f>
        <v>145.88999999999999</v>
      </c>
      <c r="K650" s="38">
        <f t="shared" si="309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9"/>
      <c r="B651" s="570"/>
      <c r="C651" s="571"/>
      <c r="D651" s="614"/>
      <c r="E651" s="263" t="s">
        <v>278</v>
      </c>
      <c r="F651" s="614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"),117)</f>
        <v>117</v>
      </c>
      <c r="K651" s="163">
        <f t="shared" ca="1" si="309"/>
        <v>7.986348122866894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383">
        <v>0</v>
      </c>
      <c r="J652" s="501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"),97)</f>
        <v>97</v>
      </c>
      <c r="K652" s="502">
        <f t="shared" si="309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671">
        <f t="shared" ref="I654:J654" ca="1" si="310">I669</f>
        <v>1235</v>
      </c>
      <c r="J654" s="671">
        <f t="shared" ca="1" si="310"/>
        <v>143</v>
      </c>
      <c r="K654" s="672">
        <f ca="1">IF(I654&gt;0,J654*100/I654,0)</f>
        <v>11.578947368421053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58" t="s">
        <v>17</v>
      </c>
      <c r="E655" s="852"/>
      <c r="F655" s="852"/>
      <c r="G655" s="189"/>
      <c r="H655" s="593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ca="1" si="311"/>
        <v>171700</v>
      </c>
      <c r="N655" s="195">
        <f t="shared" ca="1" si="311"/>
        <v>72404.2</v>
      </c>
      <c r="O655" s="195">
        <f t="shared" ref="O655:O660" ca="1" si="312">IF(L655&gt;0,N655*100/L655,0)</f>
        <v>42.169015725101922</v>
      </c>
      <c r="P655" s="195">
        <f t="shared" ref="P655:P660" ca="1" si="313">IF(M655&gt;0,N655*100/M655,0)</f>
        <v>42.169015725101922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185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186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ca="1" si="315"/>
        <v>171700</v>
      </c>
      <c r="N657" s="45">
        <f t="shared" ca="1" si="315"/>
        <v>72404.2</v>
      </c>
      <c r="O657" s="45">
        <f t="shared" ca="1" si="312"/>
        <v>42.169015725101922</v>
      </c>
      <c r="P657" s="45">
        <f t="shared" ca="1" si="313"/>
        <v>42.169015725101922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ca="1" si="316"/>
        <v>171700</v>
      </c>
      <c r="N658" s="38">
        <f t="shared" ca="1" si="316"/>
        <v>72404.2</v>
      </c>
      <c r="O658" s="38">
        <f t="shared" ca="1" si="312"/>
        <v>42.169015725101922</v>
      </c>
      <c r="P658" s="38">
        <f t="shared" ca="1" si="313"/>
        <v>42.169015725101922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185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186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"),171700)</f>
        <v>171700</v>
      </c>
      <c r="N660" s="45">
        <f ca="1">N661+N662+N663+N664</f>
        <v>72404.2</v>
      </c>
      <c r="O660" s="45">
        <f t="shared" ca="1" si="312"/>
        <v>42.169015725101922</v>
      </c>
      <c r="P660" s="45">
        <f t="shared" ca="1" si="313"/>
        <v>42.169015725101922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"),8944)</f>
        <v>8944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"),1500)</f>
        <v>1500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"),61960.2)</f>
        <v>61960.2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281</v>
      </c>
      <c r="E669" s="614"/>
      <c r="F669" s="614"/>
      <c r="G669" s="175"/>
      <c r="H669" s="747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143</v>
      </c>
      <c r="K669" s="195">
        <f ca="1">IF(I669&gt;0,J669*100/I669,0)</f>
        <v>11.578947368421053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282</v>
      </c>
      <c r="F670" s="614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"),61)</f>
        <v>61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283</v>
      </c>
      <c r="F671" s="614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"),61)</f>
        <v>61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284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"),1185)</f>
        <v>1185</v>
      </c>
      <c r="K672" s="38">
        <f t="shared" ref="K672:K675" ca="1" si="320">IF(I$669&gt;0,J672*100/I$669,0)</f>
        <v>95.951417004048579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285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"),862)</f>
        <v>862</v>
      </c>
      <c r="K673" s="38">
        <f t="shared" ca="1" si="320"/>
        <v>69.797570850202433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286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"),238)</f>
        <v>238</v>
      </c>
      <c r="K674" s="38">
        <f t="shared" ca="1" si="320"/>
        <v>19.271255060728745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287</v>
      </c>
      <c r="F675" s="614"/>
      <c r="G675" s="175"/>
      <c r="H675" s="182" t="s">
        <v>46</v>
      </c>
      <c r="I675" s="37"/>
      <c r="J675" s="194">
        <f ca="1">J676+J677</f>
        <v>143</v>
      </c>
      <c r="K675" s="195">
        <f t="shared" ca="1" si="320"/>
        <v>11.578947368421053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"),143)</f>
        <v>143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290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291</v>
      </c>
      <c r="F679" s="614"/>
      <c r="G679" s="175"/>
      <c r="H679" s="182" t="s">
        <v>46</v>
      </c>
      <c r="I679" s="37"/>
      <c r="J679" s="37">
        <f ca="1">J680+J681</f>
        <v>136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"),136)</f>
        <v>136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292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58" t="s">
        <v>17</v>
      </c>
      <c r="E685" s="852"/>
      <c r="F685" s="852"/>
      <c r="G685" s="189"/>
      <c r="H685" s="593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ca="1" si="321"/>
        <v>352810</v>
      </c>
      <c r="N685" s="195">
        <f t="shared" ca="1" si="321"/>
        <v>73616.12</v>
      </c>
      <c r="O685" s="195">
        <f t="shared" ref="O685:O688" ca="1" si="322">IF(L685&gt;0,N685*100/L685,0)</f>
        <v>20.865655735381651</v>
      </c>
      <c r="P685" s="195">
        <f t="shared" ref="P685:P688" ca="1" si="323">IF(M685&gt;0,N685*100/M685,0)</f>
        <v>20.865655735381651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185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186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ca="1" si="325"/>
        <v>352810</v>
      </c>
      <c r="N687" s="45">
        <f t="shared" ca="1" si="325"/>
        <v>73616.12</v>
      </c>
      <c r="O687" s="45">
        <f t="shared" ca="1" si="322"/>
        <v>20.865655735381651</v>
      </c>
      <c r="P687" s="45">
        <f t="shared" ca="1" si="323"/>
        <v>20.865655735381651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ca="1" si="326"/>
        <v>352810</v>
      </c>
      <c r="N688" s="38">
        <f t="shared" ca="1" si="326"/>
        <v>73616.12</v>
      </c>
      <c r="O688" s="38">
        <f t="shared" ca="1" si="322"/>
        <v>20.865655735381651</v>
      </c>
      <c r="P688" s="38">
        <f t="shared" ca="1" si="323"/>
        <v>20.865655735381651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185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186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"),352810)</f>
        <v>352810</v>
      </c>
      <c r="N690" s="45">
        <f ca="1">N691+N692+N693+N694</f>
        <v>73616.12</v>
      </c>
      <c r="O690" s="45">
        <f ca="1">IF(L690&gt;0,N690*100/L690,0)</f>
        <v>20.865655735381651</v>
      </c>
      <c r="P690" s="45">
        <f ca="1">IF(M690&gt;0,N690*100/M690,0)</f>
        <v>20.865655735381651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"),73616.12)</f>
        <v>73616.12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3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4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4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5" t="s">
        <v>38</v>
      </c>
      <c r="E698" s="756"/>
      <c r="F698" s="607"/>
      <c r="G698" s="608"/>
      <c r="H698" s="757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9"/>
      <c r="B699" s="571"/>
      <c r="C699" s="571"/>
      <c r="D699" s="572" t="s">
        <v>295</v>
      </c>
      <c r="E699" s="758"/>
      <c r="F699" s="571"/>
      <c r="G699" s="189"/>
      <c r="H699" s="759" t="s">
        <v>46</v>
      </c>
      <c r="I699" s="760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8">
        <f t="shared" ref="K699:K701" ca="1" si="330">IF(I699&gt;0,J699*100/I699,0)</f>
        <v>14.4</v>
      </c>
      <c r="L699" s="38"/>
      <c r="M699" s="189"/>
      <c r="N699" s="761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9"/>
      <c r="B700" s="571"/>
      <c r="C700" s="571"/>
      <c r="D700" s="572" t="s">
        <v>296</v>
      </c>
      <c r="E700" s="571"/>
      <c r="F700" s="571"/>
      <c r="G700" s="189"/>
      <c r="H700" s="759" t="s">
        <v>35</v>
      </c>
      <c r="I700" s="760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"),13)</f>
        <v>13</v>
      </c>
      <c r="K700" s="38">
        <f t="shared" ca="1" si="330"/>
        <v>9.420289855072463</v>
      </c>
      <c r="L700" s="38"/>
      <c r="M700" s="189"/>
      <c r="N700" s="761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9"/>
      <c r="B701" s="571"/>
      <c r="C701" s="571"/>
      <c r="D701" s="572" t="s">
        <v>297</v>
      </c>
      <c r="E701" s="571"/>
      <c r="F701" s="571"/>
      <c r="G701" s="189"/>
      <c r="H701" s="762" t="s">
        <v>46</v>
      </c>
      <c r="I701" s="763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670.53199999999902</v>
      </c>
      <c r="K701" s="195">
        <f t="shared" ca="1" si="330"/>
        <v>36.422161868549644</v>
      </c>
      <c r="L701" s="38"/>
      <c r="M701" s="189"/>
      <c r="N701" s="761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9"/>
      <c r="B702" s="571"/>
      <c r="C702" s="571"/>
      <c r="D702" s="571"/>
      <c r="E702" s="572" t="s">
        <v>298</v>
      </c>
      <c r="F702" s="571"/>
      <c r="G702" s="189"/>
      <c r="H702" s="182" t="s">
        <v>35</v>
      </c>
      <c r="I702" s="760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"),71)</f>
        <v>71</v>
      </c>
      <c r="K702" s="38"/>
      <c r="L702" s="38"/>
      <c r="M702" s="189"/>
      <c r="N702" s="761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9"/>
      <c r="B703" s="571"/>
      <c r="C703" s="571"/>
      <c r="D703" s="571"/>
      <c r="E703" s="571"/>
      <c r="F703" s="571"/>
      <c r="G703" s="189"/>
      <c r="H703" s="182" t="s">
        <v>34</v>
      </c>
      <c r="I703" s="760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"),77)</f>
        <v>77</v>
      </c>
      <c r="K703" s="38"/>
      <c r="L703" s="38"/>
      <c r="M703" s="189"/>
      <c r="N703" s="761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9"/>
      <c r="B704" s="571"/>
      <c r="C704" s="571"/>
      <c r="D704" s="571"/>
      <c r="E704" s="571"/>
      <c r="F704" s="571"/>
      <c r="G704" s="189"/>
      <c r="H704" s="182" t="s">
        <v>46</v>
      </c>
      <c r="I704" s="760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"),625.531999999999)</f>
        <v>625.53199999999902</v>
      </c>
      <c r="K704" s="38"/>
      <c r="L704" s="38"/>
      <c r="M704" s="189"/>
      <c r="N704" s="761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9"/>
      <c r="B705" s="571"/>
      <c r="C705" s="571"/>
      <c r="D705" s="571"/>
      <c r="E705" s="572" t="s">
        <v>299</v>
      </c>
      <c r="F705" s="571"/>
      <c r="G705" s="189"/>
      <c r="H705" s="182" t="s">
        <v>35</v>
      </c>
      <c r="I705" s="760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"),2)</f>
        <v>2</v>
      </c>
      <c r="K705" s="38"/>
      <c r="L705" s="38"/>
      <c r="M705" s="189"/>
      <c r="N705" s="761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9"/>
      <c r="B706" s="571"/>
      <c r="C706" s="571"/>
      <c r="D706" s="571"/>
      <c r="E706" s="571"/>
      <c r="F706" s="571"/>
      <c r="G706" s="189"/>
      <c r="H706" s="182" t="s">
        <v>34</v>
      </c>
      <c r="I706" s="760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"),2)</f>
        <v>2</v>
      </c>
      <c r="K706" s="38"/>
      <c r="L706" s="38"/>
      <c r="M706" s="189"/>
      <c r="N706" s="761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9"/>
      <c r="B707" s="571"/>
      <c r="C707" s="571"/>
      <c r="D707" s="571"/>
      <c r="E707" s="571"/>
      <c r="F707" s="571"/>
      <c r="G707" s="189"/>
      <c r="H707" s="182" t="s">
        <v>46</v>
      </c>
      <c r="I707" s="760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"),45)</f>
        <v>45</v>
      </c>
      <c r="K707" s="38"/>
      <c r="L707" s="38"/>
      <c r="M707" s="189"/>
      <c r="N707" s="761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9"/>
      <c r="B708" s="571"/>
      <c r="C708" s="571"/>
      <c r="D708" s="764" t="s">
        <v>300</v>
      </c>
      <c r="E708" s="571"/>
      <c r="F708" s="571"/>
      <c r="G708" s="189"/>
      <c r="H708" s="192" t="s">
        <v>46</v>
      </c>
      <c r="I708" s="763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4">
        <f ca="1">J714+J717</f>
        <v>648</v>
      </c>
      <c r="K708" s="195">
        <f ca="1">IF(I708&gt;0,J708*100/I708,0)</f>
        <v>28.659885006634234</v>
      </c>
      <c r="L708" s="38"/>
      <c r="M708" s="189"/>
      <c r="N708" s="761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9"/>
      <c r="B709" s="571"/>
      <c r="C709" s="571"/>
      <c r="D709" s="571"/>
      <c r="E709" s="572" t="s">
        <v>301</v>
      </c>
      <c r="F709" s="571"/>
      <c r="G709" s="189"/>
      <c r="H709" s="182" t="s">
        <v>34</v>
      </c>
      <c r="I709" s="760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"),32)</f>
        <v>32</v>
      </c>
      <c r="K709" s="38"/>
      <c r="L709" s="761"/>
      <c r="M709" s="189"/>
      <c r="N709" s="761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9"/>
      <c r="B710" s="571"/>
      <c r="C710" s="571"/>
      <c r="D710" s="571"/>
      <c r="E710" s="571"/>
      <c r="F710" s="571"/>
      <c r="G710" s="189"/>
      <c r="H710" s="182" t="s">
        <v>46</v>
      </c>
      <c r="I710" s="760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"),548)</f>
        <v>548</v>
      </c>
      <c r="K710" s="38"/>
      <c r="L710" s="761"/>
      <c r="M710" s="189"/>
      <c r="N710" s="761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9"/>
      <c r="B711" s="571"/>
      <c r="C711" s="571"/>
      <c r="D711" s="571"/>
      <c r="E711" s="572" t="s">
        <v>302</v>
      </c>
      <c r="F711" s="571"/>
      <c r="G711" s="189"/>
      <c r="H711" s="175"/>
      <c r="I711" s="760"/>
      <c r="J711" s="37"/>
      <c r="K711" s="38"/>
      <c r="L711" s="761"/>
      <c r="M711" s="189"/>
      <c r="N711" s="761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9"/>
      <c r="B712" s="571"/>
      <c r="C712" s="571"/>
      <c r="D712" s="571"/>
      <c r="E712" s="571"/>
      <c r="F712" s="572" t="s">
        <v>303</v>
      </c>
      <c r="G712" s="189"/>
      <c r="H712" s="182" t="s">
        <v>35</v>
      </c>
      <c r="I712" s="760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"),63)</f>
        <v>63</v>
      </c>
      <c r="K712" s="38"/>
      <c r="L712" s="761"/>
      <c r="M712" s="189"/>
      <c r="N712" s="761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9"/>
      <c r="B713" s="571"/>
      <c r="C713" s="571"/>
      <c r="D713" s="571"/>
      <c r="E713" s="571"/>
      <c r="F713" s="571"/>
      <c r="G713" s="189"/>
      <c r="H713" s="182" t="s">
        <v>34</v>
      </c>
      <c r="I713" s="760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"),55)</f>
        <v>55</v>
      </c>
      <c r="K713" s="38"/>
      <c r="L713" s="761"/>
      <c r="M713" s="189"/>
      <c r="N713" s="761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9"/>
      <c r="B714" s="571"/>
      <c r="C714" s="571"/>
      <c r="D714" s="571"/>
      <c r="E714" s="571"/>
      <c r="F714" s="571"/>
      <c r="G714" s="189"/>
      <c r="H714" s="182" t="s">
        <v>46</v>
      </c>
      <c r="I714" s="760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"),416)</f>
        <v>416</v>
      </c>
      <c r="K714" s="38"/>
      <c r="L714" s="761"/>
      <c r="M714" s="189"/>
      <c r="N714" s="761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9"/>
      <c r="B715" s="571"/>
      <c r="C715" s="571"/>
      <c r="D715" s="571"/>
      <c r="E715" s="571"/>
      <c r="F715" s="572" t="s">
        <v>304</v>
      </c>
      <c r="G715" s="189"/>
      <c r="H715" s="182" t="s">
        <v>35</v>
      </c>
      <c r="I715" s="760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"),8)</f>
        <v>8</v>
      </c>
      <c r="K715" s="38"/>
      <c r="L715" s="761"/>
      <c r="M715" s="189"/>
      <c r="N715" s="761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9"/>
      <c r="B716" s="571"/>
      <c r="C716" s="571"/>
      <c r="D716" s="571"/>
      <c r="E716" s="571"/>
      <c r="F716" s="571"/>
      <c r="G716" s="189"/>
      <c r="H716" s="182" t="s">
        <v>34</v>
      </c>
      <c r="I716" s="760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"),18)</f>
        <v>18</v>
      </c>
      <c r="K716" s="38"/>
      <c r="L716" s="761"/>
      <c r="M716" s="189"/>
      <c r="N716" s="761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9"/>
      <c r="B717" s="571"/>
      <c r="C717" s="571"/>
      <c r="D717" s="571"/>
      <c r="E717" s="571"/>
      <c r="F717" s="571"/>
      <c r="G717" s="189"/>
      <c r="H717" s="182" t="s">
        <v>46</v>
      </c>
      <c r="I717" s="760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"),232)</f>
        <v>232</v>
      </c>
      <c r="K717" s="38"/>
      <c r="L717" s="761"/>
      <c r="M717" s="189"/>
      <c r="N717" s="761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9"/>
      <c r="B718" s="571"/>
      <c r="C718" s="571"/>
      <c r="D718" s="572" t="s">
        <v>305</v>
      </c>
      <c r="E718" s="571"/>
      <c r="F718" s="571"/>
      <c r="G718" s="189"/>
      <c r="H718" s="182" t="s">
        <v>35</v>
      </c>
      <c r="I718" s="760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"),18)</f>
        <v>18</v>
      </c>
      <c r="K718" s="38"/>
      <c r="L718" s="38"/>
      <c r="M718" s="189"/>
      <c r="N718" s="761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9"/>
      <c r="B719" s="571"/>
      <c r="C719" s="571"/>
      <c r="D719" s="571"/>
      <c r="E719" s="571"/>
      <c r="F719" s="571"/>
      <c r="G719" s="189"/>
      <c r="H719" s="182" t="s">
        <v>34</v>
      </c>
      <c r="I719" s="760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"),20)</f>
        <v>20</v>
      </c>
      <c r="K719" s="38"/>
      <c r="L719" s="761"/>
      <c r="M719" s="189"/>
      <c r="N719" s="761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9"/>
      <c r="B720" s="571"/>
      <c r="C720" s="571"/>
      <c r="D720" s="571"/>
      <c r="E720" s="571"/>
      <c r="F720" s="571"/>
      <c r="G720" s="189"/>
      <c r="H720" s="182" t="s">
        <v>46</v>
      </c>
      <c r="I720" s="760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"),187.12)</f>
        <v>187.12</v>
      </c>
      <c r="K720" s="38">
        <f t="shared" ref="K720:K723" ca="1" si="331">IF(I720&gt;0,J720*100/I720,0)</f>
        <v>9.3048234709099944</v>
      </c>
      <c r="L720" s="761"/>
      <c r="M720" s="189"/>
      <c r="N720" s="761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9"/>
      <c r="B721" s="571"/>
      <c r="C721" s="571"/>
      <c r="D721" s="572" t="s">
        <v>306</v>
      </c>
      <c r="E721" s="571"/>
      <c r="F721" s="571"/>
      <c r="G721" s="189"/>
      <c r="H721" s="747" t="s">
        <v>35</v>
      </c>
      <c r="I721" s="763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4">
        <f ca="1">J723+J726</f>
        <v>95</v>
      </c>
      <c r="K721" s="195">
        <f t="shared" ca="1" si="331"/>
        <v>39.256198347107436</v>
      </c>
      <c r="L721" s="761"/>
      <c r="M721" s="189"/>
      <c r="N721" s="761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9"/>
      <c r="B722" s="571"/>
      <c r="C722" s="571"/>
      <c r="D722" s="571"/>
      <c r="E722" s="572"/>
      <c r="F722" s="571"/>
      <c r="G722" s="189"/>
      <c r="H722" s="747" t="s">
        <v>46</v>
      </c>
      <c r="I722" s="763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4">
        <f ca="1">J725+J728</f>
        <v>1168.8699999999999</v>
      </c>
      <c r="K722" s="195">
        <f t="shared" ca="1" si="331"/>
        <v>47.495733441690362</v>
      </c>
      <c r="L722" s="38"/>
      <c r="M722" s="189"/>
      <c r="N722" s="761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9"/>
      <c r="B723" s="571"/>
      <c r="C723" s="571"/>
      <c r="D723" s="571"/>
      <c r="E723" s="572" t="s">
        <v>307</v>
      </c>
      <c r="F723" s="571"/>
      <c r="G723" s="189"/>
      <c r="H723" s="182" t="s">
        <v>35</v>
      </c>
      <c r="I723" s="760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"),80)</f>
        <v>80</v>
      </c>
      <c r="K723" s="38">
        <f t="shared" ca="1" si="331"/>
        <v>44.19889502762431</v>
      </c>
      <c r="L723" s="38"/>
      <c r="M723" s="189"/>
      <c r="N723" s="761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9"/>
      <c r="B724" s="571"/>
      <c r="C724" s="571"/>
      <c r="D724" s="571"/>
      <c r="E724" s="571"/>
      <c r="F724" s="571"/>
      <c r="G724" s="189"/>
      <c r="H724" s="182" t="s">
        <v>34</v>
      </c>
      <c r="I724" s="760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"),94)</f>
        <v>94</v>
      </c>
      <c r="K724" s="38"/>
      <c r="L724" s="761"/>
      <c r="M724" s="189"/>
      <c r="N724" s="761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9"/>
      <c r="B725" s="571"/>
      <c r="C725" s="571"/>
      <c r="D725" s="571"/>
      <c r="E725" s="571"/>
      <c r="F725" s="571"/>
      <c r="G725" s="189"/>
      <c r="H725" s="182" t="s">
        <v>46</v>
      </c>
      <c r="I725" s="760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"),1104.49)</f>
        <v>1104.49</v>
      </c>
      <c r="K725" s="38">
        <f t="shared" ref="K725:K726" ca="1" si="332">IF(I725&gt;0,J725*100/I725,0)</f>
        <v>58.192307692307693</v>
      </c>
      <c r="L725" s="761"/>
      <c r="M725" s="189"/>
      <c r="N725" s="761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9"/>
      <c r="B726" s="571"/>
      <c r="C726" s="571"/>
      <c r="D726" s="571"/>
      <c r="E726" s="572" t="s">
        <v>308</v>
      </c>
      <c r="F726" s="571"/>
      <c r="G726" s="189"/>
      <c r="H726" s="182" t="s">
        <v>35</v>
      </c>
      <c r="I726" s="760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"),15)</f>
        <v>15</v>
      </c>
      <c r="K726" s="38">
        <f t="shared" ca="1" si="332"/>
        <v>24.590163934426229</v>
      </c>
      <c r="L726" s="38"/>
      <c r="M726" s="189"/>
      <c r="N726" s="761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9"/>
      <c r="B727" s="571"/>
      <c r="C727" s="571"/>
      <c r="D727" s="571"/>
      <c r="E727" s="571"/>
      <c r="F727" s="571"/>
      <c r="G727" s="189"/>
      <c r="H727" s="182" t="s">
        <v>34</v>
      </c>
      <c r="I727" s="760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"),18)</f>
        <v>18</v>
      </c>
      <c r="K727" s="38"/>
      <c r="L727" s="761"/>
      <c r="M727" s="189"/>
      <c r="N727" s="761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9"/>
      <c r="B728" s="571"/>
      <c r="C728" s="571"/>
      <c r="D728" s="571"/>
      <c r="E728" s="571"/>
      <c r="F728" s="571"/>
      <c r="G728" s="189"/>
      <c r="H728" s="182" t="s">
        <v>46</v>
      </c>
      <c r="I728" s="760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"),64.38)</f>
        <v>64.38</v>
      </c>
      <c r="K728" s="38">
        <f t="shared" ref="K728:K729" ca="1" si="333">IF(I728&gt;0,J728*100/I728,0)</f>
        <v>11.435168738898756</v>
      </c>
      <c r="L728" s="761"/>
      <c r="M728" s="189"/>
      <c r="N728" s="761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9"/>
      <c r="B729" s="571"/>
      <c r="C729" s="571"/>
      <c r="D729" s="572" t="s">
        <v>309</v>
      </c>
      <c r="E729" s="571"/>
      <c r="F729" s="571"/>
      <c r="G729" s="189"/>
      <c r="H729" s="192" t="s">
        <v>46</v>
      </c>
      <c r="I729" s="763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489.17750000000001</v>
      </c>
      <c r="K729" s="195">
        <f t="shared" ca="1" si="333"/>
        <v>89.429159049360152</v>
      </c>
      <c r="L729" s="38"/>
      <c r="M729" s="189"/>
      <c r="N729" s="761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9"/>
      <c r="B730" s="571"/>
      <c r="C730" s="571"/>
      <c r="D730" s="571"/>
      <c r="E730" s="572" t="s">
        <v>310</v>
      </c>
      <c r="F730" s="571"/>
      <c r="G730" s="189"/>
      <c r="H730" s="182" t="s">
        <v>35</v>
      </c>
      <c r="I730" s="760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"),11)</f>
        <v>11</v>
      </c>
      <c r="K730" s="38"/>
      <c r="L730" s="761"/>
      <c r="M730" s="38"/>
      <c r="N730" s="761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9"/>
      <c r="B731" s="571"/>
      <c r="C731" s="571"/>
      <c r="D731" s="571"/>
      <c r="E731" s="571"/>
      <c r="F731" s="571"/>
      <c r="G731" s="189"/>
      <c r="H731" s="182" t="s">
        <v>34</v>
      </c>
      <c r="I731" s="760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"),10)</f>
        <v>10</v>
      </c>
      <c r="K731" s="38"/>
      <c r="L731" s="761"/>
      <c r="M731" s="38"/>
      <c r="N731" s="761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9"/>
      <c r="B732" s="571"/>
      <c r="C732" s="571"/>
      <c r="D732" s="571"/>
      <c r="E732" s="571"/>
      <c r="F732" s="571"/>
      <c r="G732" s="189"/>
      <c r="H732" s="182" t="s">
        <v>46</v>
      </c>
      <c r="I732" s="760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"),153.7525)</f>
        <v>153.7525</v>
      </c>
      <c r="K732" s="38"/>
      <c r="L732" s="761"/>
      <c r="M732" s="38"/>
      <c r="N732" s="761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9"/>
      <c r="B733" s="571"/>
      <c r="C733" s="571"/>
      <c r="D733" s="571"/>
      <c r="E733" s="572" t="s">
        <v>311</v>
      </c>
      <c r="F733" s="571"/>
      <c r="G733" s="189"/>
      <c r="H733" s="182" t="s">
        <v>35</v>
      </c>
      <c r="I733" s="760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"),26)</f>
        <v>26</v>
      </c>
      <c r="K733" s="38"/>
      <c r="L733" s="761"/>
      <c r="M733" s="38"/>
      <c r="N733" s="761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9"/>
      <c r="B734" s="571"/>
      <c r="C734" s="571"/>
      <c r="D734" s="571"/>
      <c r="E734" s="571"/>
      <c r="F734" s="571"/>
      <c r="G734" s="189"/>
      <c r="H734" s="182" t="s">
        <v>34</v>
      </c>
      <c r="I734" s="760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"),23)</f>
        <v>23</v>
      </c>
      <c r="K734" s="38"/>
      <c r="L734" s="761"/>
      <c r="M734" s="38"/>
      <c r="N734" s="761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"),335.425)</f>
        <v>335.42500000000001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59" t="s">
        <v>17</v>
      </c>
      <c r="E737" s="852"/>
      <c r="F737" s="852"/>
      <c r="G737" s="598"/>
      <c r="H737" s="641" t="s">
        <v>12</v>
      </c>
      <c r="I737" s="44"/>
      <c r="J737" s="44"/>
      <c r="K737" s="45"/>
      <c r="L737" s="642">
        <f t="shared" ref="L737:N737" si="334">L738+L739</f>
        <v>0</v>
      </c>
      <c r="M737" s="642">
        <f t="shared" si="334"/>
        <v>0</v>
      </c>
      <c r="N737" s="642">
        <f t="shared" si="334"/>
        <v>0</v>
      </c>
      <c r="O737" s="642">
        <f t="shared" ref="O737:O742" si="335">IF(L737&gt;0,N737*100/L737,0)</f>
        <v>0</v>
      </c>
      <c r="P737" s="642">
        <f t="shared" ref="P737:P742" si="33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185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186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7" t="s">
        <v>20</v>
      </c>
      <c r="E740" s="595"/>
      <c r="F740" s="595"/>
      <c r="G740" s="598"/>
      <c r="H740" s="641" t="s">
        <v>12</v>
      </c>
      <c r="I740" s="166"/>
      <c r="J740" s="166"/>
      <c r="K740" s="167"/>
      <c r="L740" s="642">
        <f t="shared" ref="L740:N740" si="339">L741+L742</f>
        <v>0</v>
      </c>
      <c r="M740" s="642">
        <f t="shared" si="339"/>
        <v>0</v>
      </c>
      <c r="N740" s="642">
        <f t="shared" si="339"/>
        <v>0</v>
      </c>
      <c r="O740" s="642">
        <f t="shared" si="335"/>
        <v>0</v>
      </c>
      <c r="P740" s="642">
        <f t="shared" si="33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185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186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4"/>
      <c r="B743" s="600"/>
      <c r="C743" s="595"/>
      <c r="D743" s="595"/>
      <c r="E743" s="595"/>
      <c r="F743" s="597" t="s">
        <v>187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4"/>
      <c r="B744" s="600"/>
      <c r="C744" s="595"/>
      <c r="D744" s="595"/>
      <c r="E744" s="595"/>
      <c r="F744" s="597" t="s">
        <v>188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4"/>
      <c r="B745" s="600"/>
      <c r="C745" s="595"/>
      <c r="D745" s="595"/>
      <c r="E745" s="595"/>
      <c r="F745" s="597" t="s">
        <v>189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4"/>
      <c r="B746" s="600"/>
      <c r="C746" s="595"/>
      <c r="D746" s="595"/>
      <c r="E746" s="595"/>
      <c r="F746" s="597" t="s">
        <v>190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7" t="s">
        <v>21</v>
      </c>
      <c r="E747" s="595"/>
      <c r="F747" s="595"/>
      <c r="G747" s="598"/>
      <c r="H747" s="778" t="s">
        <v>12</v>
      </c>
      <c r="I747" s="166"/>
      <c r="J747" s="166"/>
      <c r="K747" s="167"/>
      <c r="L747" s="642">
        <f t="shared" ref="L747:N747" si="340">L748+L749</f>
        <v>0</v>
      </c>
      <c r="M747" s="642">
        <f t="shared" si="340"/>
        <v>0</v>
      </c>
      <c r="N747" s="642">
        <f t="shared" si="340"/>
        <v>0</v>
      </c>
      <c r="O747" s="642">
        <f t="shared" ref="O747:O749" si="341">IF(L747&gt;0,N747*100/L747,0)</f>
        <v>0</v>
      </c>
      <c r="P747" s="642">
        <f t="shared" ref="P747:P749" si="34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9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4"/>
      <c r="B751" s="600"/>
      <c r="C751" s="595"/>
      <c r="D751" s="595"/>
      <c r="E751" s="597" t="s">
        <v>314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4"/>
      <c r="B752" s="600"/>
      <c r="C752" s="595"/>
      <c r="D752" s="595"/>
      <c r="E752" s="595"/>
      <c r="F752" s="595"/>
      <c r="G752" s="598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59" t="s">
        <v>17</v>
      </c>
      <c r="E754" s="852"/>
      <c r="F754" s="852"/>
      <c r="G754" s="598"/>
      <c r="H754" s="641" t="s">
        <v>12</v>
      </c>
      <c r="I754" s="44"/>
      <c r="J754" s="44"/>
      <c r="K754" s="45"/>
      <c r="L754" s="642">
        <f t="shared" ref="L754:N754" si="343">L755+L756</f>
        <v>0</v>
      </c>
      <c r="M754" s="642">
        <f t="shared" si="343"/>
        <v>0</v>
      </c>
      <c r="N754" s="642">
        <f t="shared" si="343"/>
        <v>0</v>
      </c>
      <c r="O754" s="642">
        <f t="shared" ref="O754:O759" si="344">IF(L754&gt;0,N754*100/L754,0)</f>
        <v>0</v>
      </c>
      <c r="P754" s="642">
        <f t="shared" ref="P754:P759" si="34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185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186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7" t="s">
        <v>20</v>
      </c>
      <c r="E757" s="595"/>
      <c r="F757" s="595"/>
      <c r="G757" s="598"/>
      <c r="H757" s="641" t="s">
        <v>12</v>
      </c>
      <c r="I757" s="166"/>
      <c r="J757" s="166"/>
      <c r="K757" s="167"/>
      <c r="L757" s="642">
        <f t="shared" ref="L757:N757" si="348">L758+L759</f>
        <v>0</v>
      </c>
      <c r="M757" s="642">
        <f t="shared" si="348"/>
        <v>0</v>
      </c>
      <c r="N757" s="642">
        <f t="shared" si="348"/>
        <v>0</v>
      </c>
      <c r="O757" s="642">
        <f t="shared" si="344"/>
        <v>0</v>
      </c>
      <c r="P757" s="642">
        <f t="shared" si="34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185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186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4"/>
      <c r="B760" s="600"/>
      <c r="C760" s="595"/>
      <c r="D760" s="595"/>
      <c r="E760" s="595"/>
      <c r="F760" s="597" t="s">
        <v>187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4"/>
      <c r="B761" s="600"/>
      <c r="C761" s="595"/>
      <c r="D761" s="595"/>
      <c r="E761" s="595"/>
      <c r="F761" s="597" t="s">
        <v>188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4"/>
      <c r="B762" s="600"/>
      <c r="C762" s="595"/>
      <c r="D762" s="595"/>
      <c r="E762" s="595"/>
      <c r="F762" s="597" t="s">
        <v>189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4"/>
      <c r="B763" s="600"/>
      <c r="C763" s="595"/>
      <c r="D763" s="595"/>
      <c r="E763" s="595"/>
      <c r="F763" s="597" t="s">
        <v>190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7" t="s">
        <v>21</v>
      </c>
      <c r="E764" s="595"/>
      <c r="F764" s="595"/>
      <c r="G764" s="598"/>
      <c r="H764" s="778" t="s">
        <v>12</v>
      </c>
      <c r="I764" s="166"/>
      <c r="J764" s="166"/>
      <c r="K764" s="167"/>
      <c r="L764" s="642">
        <f t="shared" ref="L764:N764" si="349">L765+L766</f>
        <v>0</v>
      </c>
      <c r="M764" s="642">
        <f t="shared" si="349"/>
        <v>0</v>
      </c>
      <c r="N764" s="642">
        <f t="shared" si="349"/>
        <v>0</v>
      </c>
      <c r="O764" s="642">
        <f t="shared" ref="O764:O766" si="350">IF(L764&gt;0,N764*100/L764,0)</f>
        <v>0</v>
      </c>
      <c r="P764" s="642">
        <f t="shared" ref="P764:P766" si="351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9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4"/>
      <c r="B768" s="600"/>
      <c r="C768" s="595"/>
      <c r="D768" s="595"/>
      <c r="E768" s="597" t="s">
        <v>317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59" t="s">
        <v>17</v>
      </c>
      <c r="E770" s="852"/>
      <c r="F770" s="852"/>
      <c r="G770" s="598"/>
      <c r="H770" s="641" t="s">
        <v>12</v>
      </c>
      <c r="I770" s="44"/>
      <c r="J770" s="44"/>
      <c r="K770" s="45"/>
      <c r="L770" s="642">
        <f t="shared" ref="L770:N770" si="352">L771+L772</f>
        <v>0</v>
      </c>
      <c r="M770" s="642">
        <f t="shared" si="352"/>
        <v>0</v>
      </c>
      <c r="N770" s="642">
        <f t="shared" si="352"/>
        <v>0</v>
      </c>
      <c r="O770" s="642">
        <f t="shared" ref="O770:O775" si="353">IF(L770&gt;0,N770*100/L770,0)</f>
        <v>0</v>
      </c>
      <c r="P770" s="642">
        <f t="shared" ref="P770:P775" si="354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185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186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7" t="s">
        <v>20</v>
      </c>
      <c r="E773" s="595"/>
      <c r="F773" s="595"/>
      <c r="G773" s="598"/>
      <c r="H773" s="641" t="s">
        <v>12</v>
      </c>
      <c r="I773" s="166"/>
      <c r="J773" s="166"/>
      <c r="K773" s="167"/>
      <c r="L773" s="642">
        <f t="shared" ref="L773:N773" si="357">L774+L775</f>
        <v>0</v>
      </c>
      <c r="M773" s="642">
        <f t="shared" si="357"/>
        <v>0</v>
      </c>
      <c r="N773" s="642">
        <f t="shared" si="357"/>
        <v>0</v>
      </c>
      <c r="O773" s="642">
        <f t="shared" si="353"/>
        <v>0</v>
      </c>
      <c r="P773" s="642">
        <f t="shared" si="354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185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186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4"/>
      <c r="B776" s="600"/>
      <c r="C776" s="595"/>
      <c r="D776" s="595"/>
      <c r="E776" s="595"/>
      <c r="F776" s="597" t="s">
        <v>187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4"/>
      <c r="B777" s="600"/>
      <c r="C777" s="595"/>
      <c r="D777" s="595"/>
      <c r="E777" s="595"/>
      <c r="F777" s="597" t="s">
        <v>188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4"/>
      <c r="B778" s="600"/>
      <c r="C778" s="595"/>
      <c r="D778" s="595"/>
      <c r="E778" s="595"/>
      <c r="F778" s="597" t="s">
        <v>189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4"/>
      <c r="B779" s="600"/>
      <c r="C779" s="595"/>
      <c r="D779" s="595"/>
      <c r="E779" s="595"/>
      <c r="F779" s="597" t="s">
        <v>190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7" t="s">
        <v>21</v>
      </c>
      <c r="E780" s="595"/>
      <c r="F780" s="595"/>
      <c r="G780" s="598"/>
      <c r="H780" s="778" t="s">
        <v>12</v>
      </c>
      <c r="I780" s="166"/>
      <c r="J780" s="166"/>
      <c r="K780" s="167"/>
      <c r="L780" s="642">
        <f t="shared" ref="L780:N780" si="358">L781+L782</f>
        <v>0</v>
      </c>
      <c r="M780" s="642">
        <f t="shared" si="358"/>
        <v>0</v>
      </c>
      <c r="N780" s="642">
        <f t="shared" si="358"/>
        <v>0</v>
      </c>
      <c r="O780" s="642">
        <f t="shared" ref="O780:O782" si="359">IF(L780&gt;0,N780*100/L780,0)</f>
        <v>0</v>
      </c>
      <c r="P780" s="642">
        <f t="shared" ref="P780:P782" si="360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9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4"/>
      <c r="B784" s="600"/>
      <c r="C784" s="595"/>
      <c r="D784" s="595"/>
      <c r="E784" s="597" t="s">
        <v>319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61">I801+I803</f>
        <v>5000</v>
      </c>
      <c r="J785" s="802">
        <f t="shared" ca="1" si="361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62">L787+L788</f>
        <v>335200</v>
      </c>
      <c r="M786" s="195">
        <f t="shared" ca="1" si="362"/>
        <v>335200</v>
      </c>
      <c r="N786" s="195">
        <f t="shared" ca="1" si="362"/>
        <v>137933.33000000002</v>
      </c>
      <c r="O786" s="195">
        <f t="shared" ref="O786:O791" ca="1" si="363">IF(L786&gt;0,N786*100/L786,0)</f>
        <v>41.149561455847262</v>
      </c>
      <c r="P786" s="195">
        <f t="shared" ref="P786:P791" ca="1" si="364">IF(M786&gt;0,N786*100/M786,0)</f>
        <v>41.149561455847262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185</v>
      </c>
      <c r="F787" s="595"/>
      <c r="G787" s="598"/>
      <c r="H787" s="808" t="s">
        <v>12</v>
      </c>
      <c r="I787" s="806"/>
      <c r="J787" s="806"/>
      <c r="K787" s="807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186</v>
      </c>
      <c r="F788" s="595"/>
      <c r="G788" s="598"/>
      <c r="H788" s="808" t="s">
        <v>12</v>
      </c>
      <c r="I788" s="806"/>
      <c r="J788" s="806"/>
      <c r="K788" s="807"/>
      <c r="L788" s="45">
        <f t="shared" ref="L788:N788" ca="1" si="366">L791+L798</f>
        <v>335200</v>
      </c>
      <c r="M788" s="45">
        <f t="shared" ca="1" si="366"/>
        <v>335200</v>
      </c>
      <c r="N788" s="45">
        <f t="shared" ca="1" si="366"/>
        <v>137933.33000000002</v>
      </c>
      <c r="O788" s="45">
        <f t="shared" ca="1" si="363"/>
        <v>41.149561455847262</v>
      </c>
      <c r="P788" s="45">
        <f t="shared" ca="1" si="364"/>
        <v>41.149561455847262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809" t="s">
        <v>12</v>
      </c>
      <c r="I789" s="810"/>
      <c r="J789" s="810"/>
      <c r="K789" s="811"/>
      <c r="L789" s="38">
        <f t="shared" ref="L789:N789" ca="1" si="367">L790+L791</f>
        <v>335200</v>
      </c>
      <c r="M789" s="38">
        <f t="shared" ca="1" si="367"/>
        <v>335200</v>
      </c>
      <c r="N789" s="38">
        <f t="shared" ca="1" si="367"/>
        <v>137933.33000000002</v>
      </c>
      <c r="O789" s="38">
        <f t="shared" ca="1" si="363"/>
        <v>41.149561455847262</v>
      </c>
      <c r="P789" s="38">
        <f t="shared" ca="1" si="364"/>
        <v>41.149561455847262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185</v>
      </c>
      <c r="F790" s="595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186</v>
      </c>
      <c r="F791" s="595"/>
      <c r="G791" s="598"/>
      <c r="H791" s="808" t="s">
        <v>12</v>
      </c>
      <c r="I791" s="806"/>
      <c r="J791" s="806"/>
      <c r="K791" s="807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"),335200)</f>
        <v>335200</v>
      </c>
      <c r="N791" s="45">
        <f ca="1">N792+N793+N794+N795</f>
        <v>137933.33000000002</v>
      </c>
      <c r="O791" s="45">
        <f t="shared" ca="1" si="363"/>
        <v>41.149561455847262</v>
      </c>
      <c r="P791" s="45">
        <f t="shared" ca="1" si="364"/>
        <v>41.149561455847262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187</v>
      </c>
      <c r="G792" s="189"/>
      <c r="H792" s="809" t="s">
        <v>12</v>
      </c>
      <c r="I792" s="806"/>
      <c r="J792" s="806"/>
      <c r="K792" s="807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188</v>
      </c>
      <c r="G793" s="189"/>
      <c r="H793" s="809" t="s">
        <v>12</v>
      </c>
      <c r="I793" s="806"/>
      <c r="J793" s="806"/>
      <c r="K793" s="807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189</v>
      </c>
      <c r="G794" s="189"/>
      <c r="H794" s="809" t="s">
        <v>12</v>
      </c>
      <c r="I794" s="806"/>
      <c r="J794" s="806"/>
      <c r="K794" s="807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"),103133.33)</f>
        <v>103133.33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190</v>
      </c>
      <c r="G795" s="189"/>
      <c r="H795" s="809" t="s">
        <v>12</v>
      </c>
      <c r="I795" s="806"/>
      <c r="J795" s="806"/>
      <c r="K795" s="807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"),34800)</f>
        <v>34800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812" t="s">
        <v>12</v>
      </c>
      <c r="I796" s="810"/>
      <c r="J796" s="810"/>
      <c r="K796" s="811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5" t="s">
        <v>38</v>
      </c>
      <c r="E799" s="607"/>
      <c r="F799" s="607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321</v>
      </c>
      <c r="G800" s="175"/>
      <c r="H800" s="815" t="s">
        <v>34</v>
      </c>
      <c r="I800" s="810"/>
      <c r="J800" s="816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"),61)</f>
        <v>61</v>
      </c>
      <c r="K800" s="807"/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809" t="s">
        <v>46</v>
      </c>
      <c r="I801" s="816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7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"),1342)</f>
        <v>1342</v>
      </c>
      <c r="K801" s="818">
        <f ca="1">IF(I801&gt;0,J801*100/I801,0)</f>
        <v>26.84</v>
      </c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9"/>
      <c r="B802" s="610"/>
      <c r="C802" s="610"/>
      <c r="D802" s="610"/>
      <c r="E802" s="596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customHeight="1">
      <c r="A803" s="609"/>
      <c r="B803" s="610"/>
      <c r="C803" s="610"/>
      <c r="D803" s="610"/>
      <c r="E803" s="596"/>
      <c r="F803" s="596"/>
      <c r="G803" s="366"/>
      <c r="H803" s="815" t="s">
        <v>46</v>
      </c>
      <c r="I803" s="816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7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8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71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59" t="s">
        <v>17</v>
      </c>
      <c r="E805" s="852"/>
      <c r="F805" s="852"/>
      <c r="G805" s="598"/>
      <c r="H805" s="641" t="s">
        <v>12</v>
      </c>
      <c r="I805" s="44"/>
      <c r="J805" s="44"/>
      <c r="K805" s="45"/>
      <c r="L805" s="642">
        <f t="shared" ref="L805:N805" si="372">L806+L807</f>
        <v>0</v>
      </c>
      <c r="M805" s="642">
        <f t="shared" si="372"/>
        <v>0</v>
      </c>
      <c r="N805" s="642">
        <f t="shared" si="372"/>
        <v>0</v>
      </c>
      <c r="O805" s="642">
        <f t="shared" ref="O805:O810" si="373">IF(L805&gt;0,N805*100/L805,0)</f>
        <v>0</v>
      </c>
      <c r="P805" s="642">
        <f t="shared" ref="P805:P810" si="374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185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186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61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77">L809+L810</f>
        <v>0</v>
      </c>
      <c r="M808" s="642">
        <f t="shared" si="377"/>
        <v>0</v>
      </c>
      <c r="N808" s="642">
        <f t="shared" si="377"/>
        <v>0</v>
      </c>
      <c r="O808" s="642">
        <f t="shared" si="373"/>
        <v>0</v>
      </c>
      <c r="P808" s="642">
        <f t="shared" si="374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185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186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4"/>
      <c r="B811" s="600"/>
      <c r="C811" s="595"/>
      <c r="D811" s="600"/>
      <c r="E811" s="595"/>
      <c r="F811" s="597" t="s">
        <v>187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4"/>
      <c r="B812" s="600"/>
      <c r="C812" s="595"/>
      <c r="D812" s="600"/>
      <c r="E812" s="595"/>
      <c r="F812" s="597" t="s">
        <v>188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4"/>
      <c r="B813" s="600"/>
      <c r="C813" s="595"/>
      <c r="D813" s="600"/>
      <c r="E813" s="595"/>
      <c r="F813" s="597" t="s">
        <v>189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4"/>
      <c r="B814" s="600"/>
      <c r="C814" s="595"/>
      <c r="D814" s="600"/>
      <c r="E814" s="595"/>
      <c r="F814" s="597" t="s">
        <v>190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61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78">L816+L817</f>
        <v>0</v>
      </c>
      <c r="M815" s="642">
        <f t="shared" si="378"/>
        <v>0</v>
      </c>
      <c r="N815" s="642">
        <f t="shared" si="378"/>
        <v>0</v>
      </c>
      <c r="O815" s="642">
        <f t="shared" ref="O815:O817" si="379">IF(L815&gt;0,N815*100/L815,0)</f>
        <v>0</v>
      </c>
      <c r="P815" s="642">
        <f t="shared" ref="P815:P817" si="380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21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22"/>
      <c r="B819" s="823"/>
      <c r="C819" s="824"/>
      <c r="D819" s="823"/>
      <c r="E819" s="825" t="s">
        <v>324</v>
      </c>
      <c r="F819" s="824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30" t="s">
        <v>325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9"/>
      <c r="B821" s="572" t="s">
        <v>326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"),103643764.29)</f>
        <v>103643764.29000001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"),69302925.74)</f>
        <v>69302925.739999995</v>
      </c>
      <c r="K821" s="38">
        <f t="shared" ref="K821:K828" ca="1" si="381">IF(I821&gt;0,J821*100/I821,0)</f>
        <v>66.866469212838723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9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"),3946)</f>
        <v>3946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"),2715)</f>
        <v>2715</v>
      </c>
      <c r="K822" s="38">
        <f t="shared" ca="1" si="381"/>
        <v>68.803852002027369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9"/>
      <c r="B823" s="572" t="s">
        <v>327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"),11174529.64)</f>
        <v>11174529.640000001</v>
      </c>
      <c r="K823" s="38">
        <f t="shared" ca="1" si="381"/>
        <v>10.651797623640554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9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"),1109)</f>
        <v>1109</v>
      </c>
      <c r="K824" s="38">
        <f t="shared" ca="1" si="381"/>
        <v>35.808847271553113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9"/>
      <c r="B825" s="572" t="s">
        <v>328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"),13336887.08)</f>
        <v>13336887.08</v>
      </c>
      <c r="K825" s="38">
        <f t="shared" ca="1" si="381"/>
        <v>31.304718876754098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9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"),7516)</f>
        <v>7516</v>
      </c>
      <c r="K826" s="38">
        <f t="shared" ca="1" si="381"/>
        <v>67.529200359389037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9"/>
      <c r="B827" s="572" t="s">
        <v>329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"),73715000)</f>
        <v>73715000</v>
      </c>
      <c r="K827" s="38">
        <f t="shared" ca="1" si="381"/>
        <v>65.571072762853589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1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"),1938)</f>
        <v>1938</v>
      </c>
      <c r="K828" s="502">
        <f t="shared" ca="1" si="381"/>
        <v>49.527216969077436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6C3B-1BB5-4D9C-A5C5-CC5D818BBE3B}">
  <sheetPr codeName="Sheet2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62" t="s">
        <v>362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3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7951767</v>
      </c>
      <c r="M8" s="22">
        <f t="shared" ca="1" si="0"/>
        <v>8151674.3100000005</v>
      </c>
      <c r="N8" s="22">
        <f t="shared" ca="1" si="0"/>
        <v>5193882.4000000004</v>
      </c>
      <c r="O8" s="22">
        <f t="shared" ref="O8:O16" ca="1" si="1">IF(L8&gt;0,N8*100/L8,0)</f>
        <v>65.317336385736667</v>
      </c>
      <c r="P8" s="22">
        <f t="shared" ref="P8:P16" ca="1" si="2">IF(M8&gt;0,N8*100/M8,0)</f>
        <v>63.715528889917096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7951767</v>
      </c>
      <c r="M10" s="30">
        <f t="shared" ca="1" si="3"/>
        <v>8151674.3100000005</v>
      </c>
      <c r="N10" s="30">
        <f t="shared" ca="1" si="3"/>
        <v>5193882.4000000004</v>
      </c>
      <c r="O10" s="30">
        <f t="shared" ca="1" si="1"/>
        <v>65.317336385736667</v>
      </c>
      <c r="P10" s="30">
        <f t="shared" ca="1" si="2"/>
        <v>63.715528889917096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7370567</v>
      </c>
      <c r="M11" s="497">
        <f t="shared" ca="1" si="4"/>
        <v>7610074.3100000005</v>
      </c>
      <c r="N11" s="497">
        <f t="shared" ca="1" si="4"/>
        <v>4652282.4000000004</v>
      </c>
      <c r="O11" s="497">
        <f t="shared" ca="1" si="1"/>
        <v>63.119735564441662</v>
      </c>
      <c r="P11" s="497">
        <f t="shared" ca="1" si="2"/>
        <v>61.1332059384319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7370567</v>
      </c>
      <c r="M13" s="93">
        <f t="shared" ca="1" si="5"/>
        <v>7610074.3100000005</v>
      </c>
      <c r="N13" s="93">
        <f t="shared" ca="1" si="5"/>
        <v>4652282.4000000004</v>
      </c>
      <c r="O13" s="93">
        <f t="shared" ca="1" si="1"/>
        <v>63.119735564441662</v>
      </c>
      <c r="P13" s="93">
        <f t="shared" ca="1" si="2"/>
        <v>61.1332059384319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581200</v>
      </c>
      <c r="M14" s="497">
        <f t="shared" ca="1" si="6"/>
        <v>541600</v>
      </c>
      <c r="N14" s="497">
        <f t="shared" ca="1" si="6"/>
        <v>541600</v>
      </c>
      <c r="O14" s="497">
        <f t="shared" ca="1" si="1"/>
        <v>93.186510667584315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581200</v>
      </c>
      <c r="M16" s="52">
        <f t="shared" ca="1" si="7"/>
        <v>541600</v>
      </c>
      <c r="N16" s="52">
        <f t="shared" ca="1" si="7"/>
        <v>541600</v>
      </c>
      <c r="O16" s="52">
        <f t="shared" ca="1" si="1"/>
        <v>93.186510667584315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4378506</v>
      </c>
      <c r="M18" s="22">
        <f t="shared" ca="1" si="8"/>
        <v>4578413.3100000005</v>
      </c>
      <c r="N18" s="22">
        <f t="shared" ca="1" si="8"/>
        <v>3557907.17</v>
      </c>
      <c r="O18" s="22">
        <f t="shared" ref="O18:O26" ca="1" si="9">IF(L18&gt;0,N18*100/L18,0)</f>
        <v>81.258474237559568</v>
      </c>
      <c r="P18" s="22">
        <f t="shared" ref="P18:P26" ca="1" si="10">IF(M18&gt;0,N18*100/M18,0)</f>
        <v>77.71048459580858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4378506</v>
      </c>
      <c r="M20" s="30">
        <f t="shared" ca="1" si="11"/>
        <v>4578413.3100000005</v>
      </c>
      <c r="N20" s="30">
        <f t="shared" ca="1" si="11"/>
        <v>3557907.17</v>
      </c>
      <c r="O20" s="30">
        <f t="shared" ca="1" si="9"/>
        <v>81.258474237559568</v>
      </c>
      <c r="P20" s="30">
        <f t="shared" ca="1" si="10"/>
        <v>77.71048459580858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3797306</v>
      </c>
      <c r="M21" s="497">
        <f t="shared" ca="1" si="12"/>
        <v>4036813.31</v>
      </c>
      <c r="N21" s="497">
        <f t="shared" ca="1" si="12"/>
        <v>3016307.17</v>
      </c>
      <c r="O21" s="497">
        <f t="shared" ca="1" si="9"/>
        <v>79.432818161085777</v>
      </c>
      <c r="P21" s="497">
        <f t="shared" ca="1" si="10"/>
        <v>74.720006558836872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3797306</v>
      </c>
      <c r="M23" s="93">
        <f t="shared" ca="1" si="13"/>
        <v>4036813.31</v>
      </c>
      <c r="N23" s="93">
        <f t="shared" ca="1" si="13"/>
        <v>3016307.17</v>
      </c>
      <c r="O23" s="93">
        <f t="shared" ca="1" si="9"/>
        <v>79.432818161085777</v>
      </c>
      <c r="P23" s="93">
        <f t="shared" ca="1" si="10"/>
        <v>74.720006558836872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581200</v>
      </c>
      <c r="M24" s="497">
        <f t="shared" ca="1" si="14"/>
        <v>541600</v>
      </c>
      <c r="N24" s="497">
        <f t="shared" ca="1" si="14"/>
        <v>541600</v>
      </c>
      <c r="O24" s="497">
        <f t="shared" ca="1" si="9"/>
        <v>93.186510667584315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581200</v>
      </c>
      <c r="M26" s="52">
        <f t="shared" ca="1" si="15"/>
        <v>541600</v>
      </c>
      <c r="N26" s="52">
        <f t="shared" ca="1" si="15"/>
        <v>541600</v>
      </c>
      <c r="O26" s="52">
        <f t="shared" ca="1" si="9"/>
        <v>93.186510667584315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3573261</v>
      </c>
      <c r="M28" s="22">
        <f t="shared" ca="1" si="16"/>
        <v>3573261</v>
      </c>
      <c r="N28" s="22">
        <f t="shared" si="16"/>
        <v>1635975.23</v>
      </c>
      <c r="O28" s="22">
        <f t="shared" ref="O28:O37" ca="1" si="17">IF(L28&gt;0,N28*100/L28,0)</f>
        <v>45.783815679850981</v>
      </c>
      <c r="P28" s="22">
        <f t="shared" ref="P28:P37" ca="1" si="18">IF(M28&gt;0,N28*100/M28,0)</f>
        <v>45.783815679850981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3573261</v>
      </c>
      <c r="M30" s="30">
        <f t="shared" ca="1" si="19"/>
        <v>3573261</v>
      </c>
      <c r="N30" s="30">
        <f t="shared" si="19"/>
        <v>1635975.23</v>
      </c>
      <c r="O30" s="30">
        <f t="shared" ca="1" si="17"/>
        <v>45.783815679850981</v>
      </c>
      <c r="P30" s="30">
        <f t="shared" ca="1" si="18"/>
        <v>45.783815679850981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3573261</v>
      </c>
      <c r="M31" s="497">
        <f t="shared" ca="1" si="20"/>
        <v>3573261</v>
      </c>
      <c r="N31" s="497">
        <f t="shared" si="20"/>
        <v>1635975.23</v>
      </c>
      <c r="O31" s="497">
        <f t="shared" ca="1" si="17"/>
        <v>45.783815679850981</v>
      </c>
      <c r="P31" s="497">
        <f t="shared" ca="1" si="18"/>
        <v>45.783815679850981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3573261</v>
      </c>
      <c r="M33" s="93">
        <f t="shared" ca="1" si="21"/>
        <v>3573261</v>
      </c>
      <c r="N33" s="93">
        <f t="shared" si="21"/>
        <v>1635975.23</v>
      </c>
      <c r="O33" s="93">
        <f t="shared" ca="1" si="17"/>
        <v>45.783815679850981</v>
      </c>
      <c r="P33" s="93">
        <f t="shared" ca="1" si="18"/>
        <v>45.783815679850981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4378506</v>
      </c>
      <c r="M37" s="59">
        <f t="shared" ca="1" si="24"/>
        <v>4578413.3100000005</v>
      </c>
      <c r="N37" s="59">
        <f t="shared" ca="1" si="24"/>
        <v>3557907.17</v>
      </c>
      <c r="O37" s="59">
        <f t="shared" ca="1" si="17"/>
        <v>81.258474237559568</v>
      </c>
      <c r="P37" s="59">
        <f t="shared" ca="1" si="18"/>
        <v>77.71048459580858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524846</v>
      </c>
      <c r="M41" s="85">
        <f t="shared" ca="1" si="25"/>
        <v>551993.31000000006</v>
      </c>
      <c r="N41" s="85">
        <f t="shared" ca="1" si="25"/>
        <v>458146</v>
      </c>
      <c r="O41" s="85">
        <f t="shared" ref="O41:O49" ca="1" si="26">IF(L41&gt;0,N41*100/L41,0)</f>
        <v>87.291510271584428</v>
      </c>
      <c r="P41" s="85">
        <f t="shared" ref="P41:P49" ca="1" si="27">IF(M41&gt;0,N41*100/M41,0)</f>
        <v>82.998469673482091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524846</v>
      </c>
      <c r="M43" s="92">
        <f t="shared" ca="1" si="28"/>
        <v>551993.31000000006</v>
      </c>
      <c r="N43" s="92">
        <f t="shared" ca="1" si="28"/>
        <v>458146</v>
      </c>
      <c r="O43" s="92">
        <f t="shared" ca="1" si="26"/>
        <v>87.291510271584428</v>
      </c>
      <c r="P43" s="92">
        <f t="shared" ca="1" si="27"/>
        <v>82.998469673482091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524846</v>
      </c>
      <c r="M44" s="497">
        <f t="shared" ca="1" si="29"/>
        <v>551993.31000000006</v>
      </c>
      <c r="N44" s="497">
        <f t="shared" ca="1" si="29"/>
        <v>458146</v>
      </c>
      <c r="O44" s="497">
        <f t="shared" ca="1" si="26"/>
        <v>87.291510271584428</v>
      </c>
      <c r="P44" s="497">
        <f t="shared" ca="1" si="27"/>
        <v>82.998469673482091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IFERROR(__xludf.DUMMYFUNCTION("IMPORTRANGE(""https://docs.google.com/spreadsheets/d/1MeEWN-I1oV_STSDYn1IFDPWt_1FKiwhDph83XaGc0o0/edit?usp=sharing"",""งบพรบ!M53"")"),524846)</f>
        <v>524846</v>
      </c>
      <c r="M46" s="93">
        <f ca="1">IFERROR(__xludf.DUMMYFUNCTION("IMPORTRANGE(""https://docs.google.com/spreadsheets/d/1MeEWN-I1oV_STSDYn1IFDPWt_1FKiwhDph83XaGc0o0/edit?usp=sharing"",""งบพรบ!R53"")"),551993.31)</f>
        <v>551993.31000000006</v>
      </c>
      <c r="N46" s="93">
        <f ca="1">IFERROR(__xludf.DUMMYFUNCTION("IMPORTRANGE(""https://docs.google.com/spreadsheets/d/1MeEWN-I1oV_STSDYn1IFDPWt_1FKiwhDph83XaGc0o0/edit?usp=sharing"",""งบพรบ!T53"")"),458146)</f>
        <v>458146</v>
      </c>
      <c r="O46" s="93">
        <f t="shared" ca="1" si="26"/>
        <v>87.291510271584428</v>
      </c>
      <c r="P46" s="93">
        <f t="shared" ca="1" si="27"/>
        <v>82.998469673482091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IFERROR(__xludf.DUMMYFUNCTION("IMPORTRANGE(""https://docs.google.com/spreadsheets/d/1MeEWN-I1oV_STSDYn1IFDPWt_1FKiwhDph83XaGc0o0/edit?usp=sharing"",""งบพรบ!P53"")"),0)</f>
        <v>0</v>
      </c>
      <c r="M49" s="52">
        <f ca="1">IFERROR(__xludf.DUMMYFUNCTION("IMPORTRANGE(""https://docs.google.com/spreadsheets/d/1MeEWN-I1oV_STSDYn1IFDPWt_1FKiwhDph83XaGc0o0/edit?usp=sharing"",""งบพรบ!S53"")"),0)</f>
        <v>0</v>
      </c>
      <c r="N49" s="52">
        <f ca="1">IFERROR(__xludf.DUMMYFUNCTION("IMPORTRANGE(""https://docs.google.com/spreadsheets/d/1MeEWN-I1oV_STSDYn1IFDPWt_1FKiwhDph83XaGc0o0/edit?usp=sharing"",""งบพรบ!U53"")"),0)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1449800</v>
      </c>
      <c r="M53" s="116">
        <f t="shared" ca="1" si="31"/>
        <v>1410200</v>
      </c>
      <c r="N53" s="116">
        <f t="shared" ca="1" si="31"/>
        <v>1175090.17</v>
      </c>
      <c r="O53" s="116">
        <f t="shared" ref="O53:O61" ca="1" si="32">IF(L53&gt;0,N53*100/L53,0)</f>
        <v>81.051880949096429</v>
      </c>
      <c r="P53" s="116">
        <f t="shared" ref="P53:P61" ca="1" si="33">IF(M53&gt;0,N53*100/M53,0)</f>
        <v>83.32790880726138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1449800</v>
      </c>
      <c r="M55" s="123">
        <f t="shared" ca="1" si="34"/>
        <v>1410200</v>
      </c>
      <c r="N55" s="123">
        <f t="shared" ca="1" si="34"/>
        <v>1175090.17</v>
      </c>
      <c r="O55" s="123">
        <f t="shared" ca="1" si="32"/>
        <v>81.051880949096429</v>
      </c>
      <c r="P55" s="123">
        <f t="shared" ca="1" si="33"/>
        <v>83.32790880726138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989200</v>
      </c>
      <c r="M56" s="497">
        <f t="shared" ca="1" si="35"/>
        <v>989200</v>
      </c>
      <c r="N56" s="497">
        <f t="shared" ca="1" si="35"/>
        <v>754090.17</v>
      </c>
      <c r="O56" s="497">
        <f t="shared" ca="1" si="32"/>
        <v>76.232326122118877</v>
      </c>
      <c r="P56" s="497">
        <f t="shared" ca="1" si="33"/>
        <v>76.232326122118877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IFERROR(__xludf.DUMMYFUNCTION("IMPORTRANGE(""https://docs.google.com/spreadsheets/d/1MeEWN-I1oV_STSDYn1IFDPWt_1FKiwhDph83XaGc0o0/edit?usp=sharing"",""งบพรบ!W53"")"),989200)</f>
        <v>989200</v>
      </c>
      <c r="M58" s="93">
        <f ca="1">IFERROR(__xludf.DUMMYFUNCTION("IMPORTRANGE(""https://docs.google.com/spreadsheets/d/1MeEWN-I1oV_STSDYn1IFDPWt_1FKiwhDph83XaGc0o0/edit?usp=sharing"",""งบพรบ!AB53"")"),989200)</f>
        <v>989200</v>
      </c>
      <c r="N58" s="93">
        <f ca="1">IFERROR(__xludf.DUMMYFUNCTION("IMPORTRANGE(""https://docs.google.com/spreadsheets/d/1MeEWN-I1oV_STSDYn1IFDPWt_1FKiwhDph83XaGc0o0/edit?usp=sharing"",""งบพรบ!AD53"")"),754090.17)</f>
        <v>754090.17</v>
      </c>
      <c r="O58" s="93">
        <f t="shared" ca="1" si="32"/>
        <v>76.232326122118877</v>
      </c>
      <c r="P58" s="93">
        <f t="shared" ca="1" si="33"/>
        <v>76.232326122118877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460600</v>
      </c>
      <c r="M59" s="497">
        <f t="shared" ca="1" si="36"/>
        <v>421000</v>
      </c>
      <c r="N59" s="497">
        <f t="shared" ca="1" si="36"/>
        <v>421000</v>
      </c>
      <c r="O59" s="497">
        <f t="shared" ca="1" si="32"/>
        <v>91.402518454190187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IFERROR(__xludf.DUMMYFUNCTION("IMPORTRANGE(""https://docs.google.com/spreadsheets/d/1MeEWN-I1oV_STSDYn1IFDPWt_1FKiwhDph83XaGc0o0/edit?usp=sharing"",""งบพรบ!Z53"")"),460600)</f>
        <v>460600</v>
      </c>
      <c r="M61" s="52">
        <f ca="1">IFERROR(__xludf.DUMMYFUNCTION("IMPORTRANGE(""https://docs.google.com/spreadsheets/d/1MeEWN-I1oV_STSDYn1IFDPWt_1FKiwhDph83XaGc0o0/edit?usp=sharing"",""งบพรบ!AC53"")"),421000)</f>
        <v>421000</v>
      </c>
      <c r="N61" s="52">
        <f ca="1">IFERROR(__xludf.DUMMYFUNCTION("IMPORTRANGE(""https://docs.google.com/spreadsheets/d/1MeEWN-I1oV_STSDYn1IFDPWt_1FKiwhDph83XaGc0o0/edit?usp=sharing"",""งบพรบ!AE53"")"),421000)</f>
        <v>421000</v>
      </c>
      <c r="O61" s="52">
        <f t="shared" ca="1" si="32"/>
        <v>91.402518454190187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IFERROR(__xludf.DUMMYFUNCTION("IMPORTRANGE(""https://docs.google.com/spreadsheets/d/1MeEWN-I1oV_STSDYn1IFDPWt_1FKiwhDph83XaGc0o0/edit?usp=sharing"",""งบพรบ!AG53"")"),0)</f>
        <v>0</v>
      </c>
      <c r="M71" s="93">
        <f ca="1">IFERROR(__xludf.DUMMYFUNCTION("IMPORTRANGE(""https://docs.google.com/spreadsheets/d/1MeEWN-I1oV_STSDYn1IFDPWt_1FKiwhDph83XaGc0o0/edit?usp=sharing"",""งบพรบ!AL53"")"),0)</f>
        <v>0</v>
      </c>
      <c r="N71" s="93">
        <f ca="1">IFERROR(__xludf.DUMMYFUNCTION("IMPORTRANGE(""https://docs.google.com/spreadsheets/d/1MeEWN-I1oV_STSDYn1IFDPWt_1FKiwhDph83XaGc0o0/edit?usp=sharing"",""งบพรบ!AN53"")"),0)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IFERROR(__xludf.DUMMYFUNCTION("IMPORTRANGE(""https://docs.google.com/spreadsheets/d/1MeEWN-I1oV_STSDYn1IFDPWt_1FKiwhDph83XaGc0o0/edit?usp=sharing"",""งบพรบ!AJ53"")"),0)</f>
        <v>0</v>
      </c>
      <c r="M74" s="93">
        <f ca="1">IFERROR(__xludf.DUMMYFUNCTION("IMPORTRANGE(""https://docs.google.com/spreadsheets/d/1MeEWN-I1oV_STSDYn1IFDPWt_1FKiwhDph83XaGc0o0/edit?usp=sharing"",""งบพรบ!AM53"")"),0)</f>
        <v>0</v>
      </c>
      <c r="N74" s="93">
        <f ca="1">IFERROR(__xludf.DUMMYFUNCTION("IMPORTRANGE(""https://docs.google.com/spreadsheets/d/1MeEWN-I1oV_STSDYn1IFDPWt_1FKiwhDph83XaGc0o0/edit?usp=sharing"",""งบพรบ!AO53"")"),0)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86340</v>
      </c>
      <c r="N88" s="155">
        <f t="shared" ca="1" si="49"/>
        <v>24600</v>
      </c>
      <c r="O88" s="155">
        <f t="shared" ref="O88:O96" ca="1" si="50">IF(L88&gt;0,N88*100/L88,0)</f>
        <v>28.492008339124393</v>
      </c>
      <c r="P88" s="155">
        <f t="shared" ref="P88:P96" ca="1" si="51">IF(M88&gt;0,N88*100/M88,0)</f>
        <v>28.492008339124393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86340</v>
      </c>
      <c r="M90" s="93">
        <f t="shared" ca="1" si="52"/>
        <v>86340</v>
      </c>
      <c r="N90" s="93">
        <f t="shared" ca="1" si="52"/>
        <v>24600</v>
      </c>
      <c r="O90" s="93">
        <f t="shared" ca="1" si="50"/>
        <v>28.492008339124393</v>
      </c>
      <c r="P90" s="93">
        <f t="shared" ca="1" si="51"/>
        <v>28.492008339124393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86340</v>
      </c>
      <c r="N91" s="497">
        <f t="shared" ca="1" si="53"/>
        <v>24600</v>
      </c>
      <c r="O91" s="497">
        <f t="shared" ca="1" si="50"/>
        <v>28.492008339124393</v>
      </c>
      <c r="P91" s="497">
        <f t="shared" ca="1" si="51"/>
        <v>28.492008339124393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IFERROR(__xludf.DUMMYFUNCTION("IMPORTRANGE(""https://docs.google.com/spreadsheets/d/1MeEWN-I1oV_STSDYn1IFDPWt_1FKiwhDph83XaGc0o0/edit?usp=sharing"",""งบพรบ!AQ53"")"),86340)</f>
        <v>86340</v>
      </c>
      <c r="M93" s="93">
        <f ca="1">IFERROR(__xludf.DUMMYFUNCTION("IMPORTRANGE(""https://docs.google.com/spreadsheets/d/1MeEWN-I1oV_STSDYn1IFDPWt_1FKiwhDph83XaGc0o0/edit?usp=sharing"",""งบพรบ!AV53"")"),86340)</f>
        <v>86340</v>
      </c>
      <c r="N93" s="93">
        <f ca="1">IFERROR(__xludf.DUMMYFUNCTION("IMPORTRANGE(""https://docs.google.com/spreadsheets/d/1MeEWN-I1oV_STSDYn1IFDPWt_1FKiwhDph83XaGc0o0/edit?usp=sharing"",""งบพรบ!AX53"")"),24600)</f>
        <v>24600</v>
      </c>
      <c r="O93" s="93">
        <f t="shared" ca="1" si="50"/>
        <v>28.492008339124393</v>
      </c>
      <c r="P93" s="93">
        <f t="shared" ca="1" si="51"/>
        <v>28.492008339124393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IFERROR(__xludf.DUMMYFUNCTION("IMPORTRANGE(""https://docs.google.com/spreadsheets/d/1MeEWN-I1oV_STSDYn1IFDPWt_1FKiwhDph83XaGc0o0/edit?usp=sharing"",""งบพรบ!AT53"")"),0)</f>
        <v>0</v>
      </c>
      <c r="M96" s="93">
        <f ca="1">IFERROR(__xludf.DUMMYFUNCTION("IMPORTRANGE(""https://docs.google.com/spreadsheets/d/1MeEWN-I1oV_STSDYn1IFDPWt_1FKiwhDph83XaGc0o0/edit?usp=sharing"",""งบพรบ!AW53"")"),0)</f>
        <v>0</v>
      </c>
      <c r="N96" s="93">
        <f ca="1">IFERROR(__xludf.DUMMYFUNCTION("IMPORTRANGE(""https://docs.google.com/spreadsheets/d/1MeEWN-I1oV_STSDYn1IFDPWt_1FKiwhDph83XaGc0o0/edit?usp=sharing"",""งบพรบ!AY53"")"),0)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IFERROR(__xludf.DUMMYFUNCTION("IMPORTRANGE(""https://docs.google.com/spreadsheets/d/1QqKyyYR6Q21VydFLVH3TRQUabQu_ym0Zz7PgGX0-kHA/edit?usp=sharing"",""แผน!M53"")"),2)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IFERROR(__xludf.DUMMYFUNCTION("IMPORTRANGE(""https://docs.google.com/spreadsheets/d/1QqKyyYR6Q21VydFLVH3TRQUabQu_ym0Zz7PgGX0-kHA/edit?usp=sharing"",""แผน!Q53"")"),1)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IFERROR(__xludf.DUMMYFUNCTION("IMPORTRANGE(""https://docs.google.com/spreadsheets/d/1QqKyyYR6Q21VydFLVH3TRQUabQu_ym0Zz7PgGX0-kHA/edit?usp=sharing"",""แผน!Q53"")"),1)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IFERROR(__xludf.DUMMYFUNCTION("IMPORTRANGE(""https://docs.google.com/spreadsheets/d/1QqKyyYR6Q21VydFLVH3TRQUabQu_ym0Zz7PgGX0-kHA/edit?usp=sharing"",""แผน!R53"")"),10)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IFERROR(__xludf.DUMMYFUNCTION("IMPORTRANGE(""https://docs.google.com/spreadsheets/d/1MeEWN-I1oV_STSDYn1IFDPWt_1FKiwhDph83XaGc0o0/edit?usp=sharing"",""งบพรบ!BA53"")"),0)</f>
        <v>0</v>
      </c>
      <c r="M124" s="93">
        <f ca="1">IFERROR(__xludf.DUMMYFUNCTION("IMPORTRANGE(""https://docs.google.com/spreadsheets/d/1MeEWN-I1oV_STSDYn1IFDPWt_1FKiwhDph83XaGc0o0/edit?usp=sharing"",""งบพรบ!BF53"")"),0)</f>
        <v>0</v>
      </c>
      <c r="N124" s="93">
        <f ca="1">IFERROR(__xludf.DUMMYFUNCTION("IMPORTRANGE(""https://docs.google.com/spreadsheets/d/1MeEWN-I1oV_STSDYn1IFDPWt_1FKiwhDph83XaGc0o0/edit?usp=sharing"",""งบพรบ!BH53"")"),0)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IFERROR(__xludf.DUMMYFUNCTION("IMPORTRANGE(""https://docs.google.com/spreadsheets/d/1MeEWN-I1oV_STSDYn1IFDPWt_1FKiwhDph83XaGc0o0/edit?usp=sharing"",""งบพรบ!BD53"")"),0)</f>
        <v>0</v>
      </c>
      <c r="M127" s="93">
        <f ca="1">IFERROR(__xludf.DUMMYFUNCTION("IMPORTRANGE(""https://docs.google.com/spreadsheets/d/1MeEWN-I1oV_STSDYn1IFDPWt_1FKiwhDph83XaGc0o0/edit?usp=sharing"",""งบพรบ!BG53"")"),0)</f>
        <v>0</v>
      </c>
      <c r="N127" s="93">
        <f ca="1">IFERROR(__xludf.DUMMYFUNCTION("IMPORTRANGE(""https://docs.google.com/spreadsheets/d/1MeEWN-I1oV_STSDYn1IFDPWt_1FKiwhDph83XaGc0o0/edit?usp=sharing"",""งบพรบ!BI53"")"),0)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IFERROR(__xludf.DUMMYFUNCTION("IMPORTRANGE(""https://docs.google.com/spreadsheets/d/1MeEWN-I1oV_STSDYn1IFDPWt_1FKiwhDph83XaGc0o0/edit?usp=sharing"",""งบพรบ!BK53"")"),0)</f>
        <v>0</v>
      </c>
      <c r="M137" s="93">
        <f ca="1">IFERROR(__xludf.DUMMYFUNCTION("IMPORTRANGE(""https://docs.google.com/spreadsheets/d/1MeEWN-I1oV_STSDYn1IFDPWt_1FKiwhDph83XaGc0o0/edit?usp=sharing"",""งบพรบ!BP53"")"),0)</f>
        <v>0</v>
      </c>
      <c r="N137" s="93">
        <f ca="1">IFERROR(__xludf.DUMMYFUNCTION("IMPORTRANGE(""https://docs.google.com/spreadsheets/d/1MeEWN-I1oV_STSDYn1IFDPWt_1FKiwhDph83XaGc0o0/edit?usp=sharing"",""งบพรบ!BR53"")"),0)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IFERROR(__xludf.DUMMYFUNCTION("IMPORTRANGE(""https://docs.google.com/spreadsheets/d/1MeEWN-I1oV_STSDYn1IFDPWt_1FKiwhDph83XaGc0o0/edit?usp=sharing"",""งบพรบ!BN53"")"),0)</f>
        <v>0</v>
      </c>
      <c r="M140" s="93">
        <f ca="1">IFERROR(__xludf.DUMMYFUNCTION("IMPORTRANGE(""https://docs.google.com/spreadsheets/d/1MeEWN-I1oV_STSDYn1IFDPWt_1FKiwhDph83XaGc0o0/edit?usp=sharing"",""งบพรบ!BQ53"")"),0)</f>
        <v>0</v>
      </c>
      <c r="N140" s="93">
        <f ca="1">IFERROR(__xludf.DUMMYFUNCTION("IMPORTRANGE(""https://docs.google.com/spreadsheets/d/1MeEWN-I1oV_STSDYn1IFDPWt_1FKiwhDph83XaGc0o0/edit?usp=sharing"",""งบพรบ!BS53"")"),0)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25180</v>
      </c>
      <c r="N149" s="155">
        <f t="shared" ca="1" si="77"/>
        <v>23050</v>
      </c>
      <c r="O149" s="155">
        <f t="shared" ref="O149:O157" ca="1" si="78">IF(L149&gt;0,N149*100/L149,0)</f>
        <v>230.5</v>
      </c>
      <c r="P149" s="155">
        <f t="shared" ref="P149:P157" ca="1" si="79">IF(M149&gt;0,N149*100/M149,0)</f>
        <v>91.540905480540104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25180</v>
      </c>
      <c r="N151" s="93">
        <f t="shared" ca="1" si="80"/>
        <v>23050</v>
      </c>
      <c r="O151" s="93">
        <f t="shared" ca="1" si="78"/>
        <v>230.5</v>
      </c>
      <c r="P151" s="93">
        <f t="shared" ca="1" si="79"/>
        <v>91.540905480540104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25180</v>
      </c>
      <c r="N152" s="497">
        <f t="shared" ca="1" si="81"/>
        <v>23050</v>
      </c>
      <c r="O152" s="497">
        <f t="shared" ca="1" si="78"/>
        <v>230.5</v>
      </c>
      <c r="P152" s="497">
        <f t="shared" ca="1" si="79"/>
        <v>91.540905480540104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IFERROR(__xludf.DUMMYFUNCTION("IMPORTRANGE(""https://docs.google.com/spreadsheets/d/1MeEWN-I1oV_STSDYn1IFDPWt_1FKiwhDph83XaGc0o0/edit?usp=sharing"",""งบพรบ!BU53"")"),10000)</f>
        <v>10000</v>
      </c>
      <c r="M154" s="93">
        <f ca="1">IFERROR(__xludf.DUMMYFUNCTION("IMPORTRANGE(""https://docs.google.com/spreadsheets/d/1MeEWN-I1oV_STSDYn1IFDPWt_1FKiwhDph83XaGc0o0/edit?usp=sharing"",""งบพรบ!BZ53"")"),25180)</f>
        <v>25180</v>
      </c>
      <c r="N154" s="93">
        <f ca="1">IFERROR(__xludf.DUMMYFUNCTION("IMPORTRANGE(""https://docs.google.com/spreadsheets/d/1MeEWN-I1oV_STSDYn1IFDPWt_1FKiwhDph83XaGc0o0/edit?usp=sharing"",""งบพรบ!CB53"")"),23050)</f>
        <v>23050</v>
      </c>
      <c r="O154" s="93">
        <f t="shared" ca="1" si="78"/>
        <v>230.5</v>
      </c>
      <c r="P154" s="93">
        <f t="shared" ca="1" si="79"/>
        <v>91.540905480540104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IFERROR(__xludf.DUMMYFUNCTION("IMPORTRANGE(""https://docs.google.com/spreadsheets/d/1MeEWN-I1oV_STSDYn1IFDPWt_1FKiwhDph83XaGc0o0/edit?usp=sharing"",""งบพรบ!BX53"")"),0)</f>
        <v>0</v>
      </c>
      <c r="M157" s="93">
        <f ca="1">IFERROR(__xludf.DUMMYFUNCTION("IMPORTRANGE(""https://docs.google.com/spreadsheets/d/1MeEWN-I1oV_STSDYn1IFDPWt_1FKiwhDph83XaGc0o0/edit?usp=sharing"",""งบพรบ!CA53"")"),0)</f>
        <v>0</v>
      </c>
      <c r="N157" s="93">
        <f ca="1">IFERROR(__xludf.DUMMYFUNCTION("IMPORTRANGE(""https://docs.google.com/spreadsheets/d/1MeEWN-I1oV_STSDYn1IFDPWt_1FKiwhDph83XaGc0o0/edit?usp=sharing"",""งบพรบ!CC53"")"),0)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IFERROR(__xludf.DUMMYFUNCTION("IMPORTRANGE(""https://docs.google.com/spreadsheets/d/1QqKyyYR6Q21VydFLVH3TRQUabQu_ym0Zz7PgGX0-kHA/edit?usp=sharing"",""แผน!X53"")"),20)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36400</v>
      </c>
      <c r="N165" s="155">
        <f t="shared" ca="1" si="84"/>
        <v>36400</v>
      </c>
      <c r="O165" s="155">
        <f t="shared" ref="O165:O173" ca="1" si="85">IF(L165&gt;0,N165*100/L165,0)</f>
        <v>157.84908933217693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36400</v>
      </c>
      <c r="N167" s="93">
        <f t="shared" ca="1" si="87"/>
        <v>36400</v>
      </c>
      <c r="O167" s="93">
        <f t="shared" ca="1" si="85"/>
        <v>157.84908933217693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36400</v>
      </c>
      <c r="N168" s="497">
        <f t="shared" ca="1" si="88"/>
        <v>36400</v>
      </c>
      <c r="O168" s="497">
        <f t="shared" ca="1" si="85"/>
        <v>157.84908933217693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IFERROR(__xludf.DUMMYFUNCTION("IMPORTRANGE(""https://docs.google.com/spreadsheets/d/1MeEWN-I1oV_STSDYn1IFDPWt_1FKiwhDph83XaGc0o0/edit?usp=sharing"",""งบพรบ!CE53"")"),23060)</f>
        <v>23060</v>
      </c>
      <c r="M170" s="93">
        <f ca="1">IFERROR(__xludf.DUMMYFUNCTION("IMPORTRANGE(""https://docs.google.com/spreadsheets/d/1MeEWN-I1oV_STSDYn1IFDPWt_1FKiwhDph83XaGc0o0/edit?usp=sharing"",""งบพรบ!CJ53"")"),36400)</f>
        <v>36400</v>
      </c>
      <c r="N170" s="93">
        <f ca="1">IFERROR(__xludf.DUMMYFUNCTION("IMPORTRANGE(""https://docs.google.com/spreadsheets/d/1MeEWN-I1oV_STSDYn1IFDPWt_1FKiwhDph83XaGc0o0/edit?usp=sharing"",""งบพรบ!CL53"")"),36400)</f>
        <v>36400</v>
      </c>
      <c r="O170" s="93">
        <f t="shared" ca="1" si="85"/>
        <v>157.84908933217693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IFERROR(__xludf.DUMMYFUNCTION("IMPORTRANGE(""https://docs.google.com/spreadsheets/d/1MeEWN-I1oV_STSDYn1IFDPWt_1FKiwhDph83XaGc0o0/edit?usp=sharing"",""งบพรบ!CH53"")"),0)</f>
        <v>0</v>
      </c>
      <c r="M173" s="93">
        <f ca="1">IFERROR(__xludf.DUMMYFUNCTION("IMPORTRANGE(""https://docs.google.com/spreadsheets/d/1MeEWN-I1oV_STSDYn1IFDPWt_1FKiwhDph83XaGc0o0/edit?usp=sharing"",""งบพรบ!CK53"")"),0)</f>
        <v>0</v>
      </c>
      <c r="N173" s="93">
        <f ca="1">IFERROR(__xludf.DUMMYFUNCTION("IMPORTRANGE(""https://docs.google.com/spreadsheets/d/1MeEWN-I1oV_STSDYn1IFDPWt_1FKiwhDph83XaGc0o0/edit?usp=sharing"",""งบพรบ!CM53"")"),0)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IFERROR(__xludf.DUMMYFUNCTION("IMPORTRANGE(""https://docs.google.com/spreadsheets/d/1QqKyyYR6Q21VydFLVH3TRQUabQu_ym0Zz7PgGX0-kHA/edit?usp=sharing"",""แผน!Y53"")"),12)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352500</v>
      </c>
      <c r="M181" s="155">
        <f t="shared" ca="1" si="92"/>
        <v>361840</v>
      </c>
      <c r="N181" s="155">
        <f t="shared" ca="1" si="92"/>
        <v>296868</v>
      </c>
      <c r="O181" s="155">
        <f t="shared" ref="O181:O189" ca="1" si="93">IF(L181&gt;0,N181*100/L181,0)</f>
        <v>84.217872340425529</v>
      </c>
      <c r="P181" s="155">
        <f t="shared" ref="P181:P189" ca="1" si="94">IF(M181&gt;0,N181*100/M181,0)</f>
        <v>82.043997346893661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352500</v>
      </c>
      <c r="M183" s="93">
        <f t="shared" ca="1" si="95"/>
        <v>361840</v>
      </c>
      <c r="N183" s="93">
        <f t="shared" ca="1" si="95"/>
        <v>296868</v>
      </c>
      <c r="O183" s="93">
        <f t="shared" ca="1" si="93"/>
        <v>84.217872340425529</v>
      </c>
      <c r="P183" s="93">
        <f t="shared" ca="1" si="94"/>
        <v>82.043997346893661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352500</v>
      </c>
      <c r="M184" s="497">
        <f t="shared" ca="1" si="96"/>
        <v>361840</v>
      </c>
      <c r="N184" s="497">
        <f t="shared" ca="1" si="96"/>
        <v>296868</v>
      </c>
      <c r="O184" s="497">
        <f t="shared" ca="1" si="93"/>
        <v>84.217872340425529</v>
      </c>
      <c r="P184" s="497">
        <f t="shared" ca="1" si="94"/>
        <v>82.043997346893661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IFERROR(__xludf.DUMMYFUNCTION("IMPORTRANGE(""https://docs.google.com/spreadsheets/d/1MeEWN-I1oV_STSDYn1IFDPWt_1FKiwhDph83XaGc0o0/edit?usp=sharing"",""งบพรบ!CO53"")"),352500)</f>
        <v>352500</v>
      </c>
      <c r="M186" s="93">
        <f ca="1">IFERROR(__xludf.DUMMYFUNCTION("IMPORTRANGE(""https://docs.google.com/spreadsheets/d/1MeEWN-I1oV_STSDYn1IFDPWt_1FKiwhDph83XaGc0o0/edit?usp=sharing"",""งบพรบ!CT53"")"),361840)</f>
        <v>361840</v>
      </c>
      <c r="N186" s="93">
        <f ca="1">IFERROR(__xludf.DUMMYFUNCTION("IMPORTRANGE(""https://docs.google.com/spreadsheets/d/1MeEWN-I1oV_STSDYn1IFDPWt_1FKiwhDph83XaGc0o0/edit?usp=sharing"",""งบพรบ!CV53"")"),296868)</f>
        <v>296868</v>
      </c>
      <c r="O186" s="93">
        <f t="shared" ca="1" si="93"/>
        <v>84.217872340425529</v>
      </c>
      <c r="P186" s="93">
        <f t="shared" ca="1" si="94"/>
        <v>82.043997346893661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IFERROR(__xludf.DUMMYFUNCTION("IMPORTRANGE(""https://docs.google.com/spreadsheets/d/1MeEWN-I1oV_STSDYn1IFDPWt_1FKiwhDph83XaGc0o0/edit?usp=sharing"",""งบพรบ!CR53"")"),0)</f>
        <v>0</v>
      </c>
      <c r="M189" s="93">
        <f ca="1">IFERROR(__xludf.DUMMYFUNCTION("IMPORTRANGE(""https://docs.google.com/spreadsheets/d/1MeEWN-I1oV_STSDYn1IFDPWt_1FKiwhDph83XaGc0o0/edit?usp=sharing"",""งบพรบ!CU53"")"),0)</f>
        <v>0</v>
      </c>
      <c r="N189" s="93">
        <f ca="1">IFERROR(__xludf.DUMMYFUNCTION("IMPORTRANGE(""https://docs.google.com/spreadsheets/d/1MeEWN-I1oV_STSDYn1IFDPWt_1FKiwhDph83XaGc0o0/edit?usp=sharing"",""งบพรบ!CW53"")"),0)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IFERROR(__xludf.DUMMYFUNCTION("IMPORTRANGE(""https://docs.google.com/spreadsheets/d/1QqKyyYR6Q21VydFLVH3TRQUabQu_ym0Zz7PgGX0-kHA/edit?usp=sharing"",""แผน!AC53"")"),4)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62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7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IFERROR(__xludf.DUMMYFUNCTION("IMPORTRANGE(""https://docs.google.com/spreadsheets/d/1QqKyyYR6Q21VydFLVH3TRQUabQu_ym0Zz7PgGX0-kHA/edit?usp=sharing"",""แผน!AE53"")"),4000)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IFERROR(__xludf.DUMMYFUNCTION("IMPORTRANGE(""https://docs.google.com/spreadsheets/d/1QqKyyYR6Q21VydFLVH3TRQUabQu_ym0Zz7PgGX0-kHA/edit?usp=sharing"",""แผน!AF53"")"),32000)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IFERROR(__xludf.DUMMYFUNCTION("IMPORTRANGE(""https://docs.google.com/spreadsheets/d/1QqKyyYR6Q21VydFLVH3TRQUabQu_ym0Zz7PgGX0-kHA/edit?usp=sharing"",""แผน!AG53"")"),16000)</f>
        <v>16000</v>
      </c>
      <c r="M201" s="497"/>
      <c r="N201" s="284">
        <v>16000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IFERROR(__xludf.DUMMYFUNCTION("IMPORTRANGE(""https://docs.google.com/spreadsheets/d/1QqKyyYR6Q21VydFLVH3TRQUabQu_ym0Zz7PgGX0-kHA/edit?usp=sharing"",""แผน!AH53"")"),5000)</f>
        <v>5000</v>
      </c>
      <c r="M202" s="497"/>
      <c r="N202" s="284">
        <v>5000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IFERROR(__xludf.DUMMYFUNCTION("IMPORTRANGE(""https://docs.google.com/spreadsheets/d/1QqKyyYR6Q21VydFLVH3TRQUabQu_ym0Zz7PgGX0-kHA/edit?usp=sharing"",""แผน!AI53"")"),4)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447" t="s">
        <v>102</v>
      </c>
      <c r="F206" s="178"/>
      <c r="G206" s="179"/>
      <c r="H206" s="757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9"/>
      <c r="H207" s="759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IFERROR(__xludf.DUMMYFUNCTION("IMPORTRANGE(""https://docs.google.com/spreadsheets/d/1QqKyyYR6Q21VydFLVH3TRQUabQu_ym0Zz7PgGX0-kHA/edit?usp=sharing"",""แผน!AK53"")"),6000)</f>
        <v>6000</v>
      </c>
      <c r="M210" s="497"/>
      <c r="N210" s="284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IFERROR(__xludf.DUMMYFUNCTION("IMPORTRANGE(""https://docs.google.com/spreadsheets/d/1QqKyyYR6Q21VydFLVH3TRQUabQu_ym0Zz7PgGX0-kHA/edit?usp=sharing"",""แผน!AL53"")"),30000)</f>
        <v>30000</v>
      </c>
      <c r="M211" s="497"/>
      <c r="N211" s="284">
        <v>30000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IFERROR(__xludf.DUMMYFUNCTION("IMPORTRANGE(""https://docs.google.com/spreadsheets/d/1QqKyyYR6Q21VydFLVH3TRQUabQu_ym0Zz7PgGX0-kHA/edit?usp=sharing"",""แผน!AM53"")"),48000)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IFERROR(__xludf.DUMMYFUNCTION("IMPORTRANGE(""https://docs.google.com/spreadsheets/d/1QqKyyYR6Q21VydFLVH3TRQUabQu_ym0Zz7PgGX0-kHA/edit?usp=sharing"",""แผน!AN53"")"),6)</f>
        <v>6</v>
      </c>
      <c r="J214" s="215">
        <v>6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IFERROR(__xludf.DUMMYFUNCTION("IMPORTRANGE(""https://docs.google.com/spreadsheets/d/1QqKyyYR6Q21VydFLVH3TRQUabQu_ym0Zz7PgGX0-kHA/edit?usp=sharing"",""แผน!AN53"")"),6)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5000</v>
      </c>
      <c r="O217" s="155">
        <f ca="1">IF(L217&gt;0,N217*100/L217,0)</f>
        <v>37.037037037037038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IFERROR(__xludf.DUMMYFUNCTION("IMPORTRANGE(""https://docs.google.com/spreadsheets/d/1QqKyyYR6Q21VydFLVH3TRQUabQu_ym0Zz7PgGX0-kHA/edit?usp=sharing"",""แผน!AP53"")"),5000)</f>
        <v>5000</v>
      </c>
      <c r="M218" s="497"/>
      <c r="N218" s="284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IFERROR(__xludf.DUMMYFUNCTION("IMPORTRANGE(""https://docs.google.com/spreadsheets/d/1QqKyyYR6Q21VydFLVH3TRQUabQu_ym0Zz7PgGX0-kHA/edit?usp=sharing"",""แผน!AQ53"")"),8500)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IFERROR(__xludf.DUMMYFUNCTION("IMPORTRANGE(""https://docs.google.com/spreadsheets/d/1QqKyyYR6Q21VydFLVH3TRQUabQu_ym0Zz7PgGX0-kHA/edit?usp=sharing"",""แผน!AT53"")"),30000)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IFERROR(__xludf.DUMMYFUNCTION("IMPORTRANGE(""https://docs.google.com/spreadsheets/d/1QqKyyYR6Q21VydFLVH3TRQUabQu_ym0Zz7PgGX0-kHA/edit?usp=sharing"",""แผน!AT53"")"),30000)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120200</v>
      </c>
      <c r="M227" s="356"/>
      <c r="N227" s="356">
        <f t="shared" ref="N227:N231" si="107">N238+N249</f>
        <v>120200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55200</v>
      </c>
      <c r="M229" s="93"/>
      <c r="N229" s="93">
        <f t="shared" si="107"/>
        <v>55200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15000</v>
      </c>
      <c r="M230" s="93"/>
      <c r="N230" s="93">
        <f t="shared" si="107"/>
        <v>15000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30000</v>
      </c>
      <c r="M231" s="93"/>
      <c r="N231" s="93">
        <f t="shared" si="107"/>
        <v>30000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120200</v>
      </c>
      <c r="M238" s="155"/>
      <c r="N238" s="155">
        <f>N239+N240+N241+N242</f>
        <v>120200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IFERROR(__xludf.DUMMYFUNCTION("IMPORTRANGE(""https://docs.google.com/spreadsheets/d/1QqKyyYR6Q21VydFLVH3TRQUabQu_ym0Zz7PgGX0-kHA/edit?usp=sharing"",""แผน!AV53"")"),20000)</f>
        <v>20000</v>
      </c>
      <c r="M239" s="283"/>
      <c r="N239" s="872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IFERROR(__xludf.DUMMYFUNCTION("IMPORTRANGE(""https://docs.google.com/spreadsheets/d/1QqKyyYR6Q21VydFLVH3TRQUabQu_ym0Zz7PgGX0-kHA/edit?usp=sharing"",""แผน!AW53"")"),55200)</f>
        <v>55200</v>
      </c>
      <c r="M240" s="283"/>
      <c r="N240" s="872">
        <v>55200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IFERROR(__xludf.DUMMYFUNCTION("IMPORTRANGE(""https://docs.google.com/spreadsheets/d/1QqKyyYR6Q21VydFLVH3TRQUabQu_ym0Zz7PgGX0-kHA/edit?usp=sharing"",""แผน!AX53"")"),15000)</f>
        <v>15000</v>
      </c>
      <c r="M241" s="283"/>
      <c r="N241" s="872">
        <v>15000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IFERROR(__xludf.DUMMYFUNCTION("IMPORTRANGE(""https://docs.google.com/spreadsheets/d/1QqKyyYR6Q21VydFLVH3TRQUabQu_ym0Zz7PgGX0-kHA/edit?usp=sharing"",""แผน!AY53"")"),30000)</f>
        <v>30000</v>
      </c>
      <c r="M242" s="283"/>
      <c r="N242" s="872">
        <v>30000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IFERROR(__xludf.DUMMYFUNCTION("IMPORTRANGE(""https://docs.google.com/spreadsheets/d/1QqKyyYR6Q21VydFLVH3TRQUabQu_ym0Zz7PgGX0-kHA/edit?usp=sharing"",""แผน!BE53"")"),30)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28</v>
      </c>
      <c r="J260" s="253">
        <f t="shared" si="115"/>
        <v>28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32600</v>
      </c>
      <c r="M261" s="155">
        <f t="shared" ca="1" si="116"/>
        <v>32600</v>
      </c>
      <c r="N261" s="155">
        <f t="shared" ca="1" si="116"/>
        <v>14250</v>
      </c>
      <c r="O261" s="155">
        <f t="shared" ref="O261:O269" ca="1" si="117">IF(L261&gt;0,N261*100/L261,0)</f>
        <v>43.711656441717793</v>
      </c>
      <c r="P261" s="155">
        <f t="shared" ref="P261:P269" ca="1" si="118">IF(M261&gt;0,N261*100/M261,0)</f>
        <v>43.711656441717793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32600</v>
      </c>
      <c r="M263" s="93">
        <f t="shared" ca="1" si="119"/>
        <v>32600</v>
      </c>
      <c r="N263" s="93">
        <f t="shared" ca="1" si="119"/>
        <v>14250</v>
      </c>
      <c r="O263" s="93">
        <f t="shared" ca="1" si="117"/>
        <v>43.711656441717793</v>
      </c>
      <c r="P263" s="93">
        <f t="shared" ca="1" si="118"/>
        <v>43.711656441717793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32600</v>
      </c>
      <c r="M264" s="497">
        <f t="shared" ca="1" si="120"/>
        <v>32600</v>
      </c>
      <c r="N264" s="497">
        <f t="shared" ca="1" si="120"/>
        <v>14250</v>
      </c>
      <c r="O264" s="497">
        <f t="shared" ca="1" si="117"/>
        <v>43.711656441717793</v>
      </c>
      <c r="P264" s="497">
        <f t="shared" ca="1" si="118"/>
        <v>43.711656441717793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IFERROR(__xludf.DUMMYFUNCTION("IMPORTRANGE(""https://docs.google.com/spreadsheets/d/1MeEWN-I1oV_STSDYn1IFDPWt_1FKiwhDph83XaGc0o0/edit?usp=sharing"",""งบพรบ!CY53"")"),32600)</f>
        <v>32600</v>
      </c>
      <c r="M266" s="93">
        <f ca="1">IFERROR(__xludf.DUMMYFUNCTION("IMPORTRANGE(""https://docs.google.com/spreadsheets/d/1MeEWN-I1oV_STSDYn1IFDPWt_1FKiwhDph83XaGc0o0/edit?usp=sharing"",""งบพรบ!DD53"")"),32600)</f>
        <v>32600</v>
      </c>
      <c r="N266" s="93">
        <f ca="1">IFERROR(__xludf.DUMMYFUNCTION("IMPORTRANGE(""https://docs.google.com/spreadsheets/d/1MeEWN-I1oV_STSDYn1IFDPWt_1FKiwhDph83XaGc0o0/edit?usp=sharing"",""งบพรบ!DF53"")"),14250)</f>
        <v>14250</v>
      </c>
      <c r="O266" s="93">
        <f t="shared" ca="1" si="117"/>
        <v>43.711656441717793</v>
      </c>
      <c r="P266" s="93">
        <f t="shared" ca="1" si="118"/>
        <v>43.711656441717793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IFERROR(__xludf.DUMMYFUNCTION("IMPORTRANGE(""https://docs.google.com/spreadsheets/d/1MeEWN-I1oV_STSDYn1IFDPWt_1FKiwhDph83XaGc0o0/edit?usp=sharing"",""งบพรบ!DB53"")"),0)</f>
        <v>0</v>
      </c>
      <c r="M269" s="93">
        <f ca="1">IFERROR(__xludf.DUMMYFUNCTION("IMPORTRANGE(""https://docs.google.com/spreadsheets/d/1MeEWN-I1oV_STSDYn1IFDPWt_1FKiwhDph83XaGc0o0/edit?usp=sharing"",""งบพรบ!DE53"")"),0)</f>
        <v>0</v>
      </c>
      <c r="N269" s="93">
        <f ca="1">IFERROR(__xludf.DUMMYFUNCTION("IMPORTRANGE(""https://docs.google.com/spreadsheets/d/1MeEWN-I1oV_STSDYn1IFDPWt_1FKiwhDph83XaGc0o0/edit?usp=sharing"",""งบพรบ!DG53"")"),0)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IFERROR(__xludf.DUMMYFUNCTION("IMPORTRANGE(""https://docs.google.com/spreadsheets/d/1QqKyyYR6Q21VydFLVH3TRQUabQu_ym0Zz7PgGX0-kHA/edit?usp=sharing"",""แผน!EA53"")"),28)</f>
        <v>28</v>
      </c>
      <c r="J271" s="215">
        <v>28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250</v>
      </c>
      <c r="J276" s="874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194020</v>
      </c>
      <c r="M277" s="155">
        <f t="shared" ca="1" si="125"/>
        <v>194020</v>
      </c>
      <c r="N277" s="155">
        <f t="shared" ca="1" si="125"/>
        <v>144728</v>
      </c>
      <c r="O277" s="155">
        <f t="shared" ref="O277:O285" ca="1" si="126">IF(L277&gt;0,N277*100/L277,0)</f>
        <v>74.594371714256269</v>
      </c>
      <c r="P277" s="155">
        <f t="shared" ref="P277:P285" ca="1" si="127">IF(M277&gt;0,N277*100/M277,0)</f>
        <v>74.594371714256269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194020</v>
      </c>
      <c r="M279" s="93">
        <f t="shared" ca="1" si="128"/>
        <v>194020</v>
      </c>
      <c r="N279" s="93">
        <f t="shared" ca="1" si="128"/>
        <v>144728</v>
      </c>
      <c r="O279" s="93">
        <f t="shared" ca="1" si="126"/>
        <v>74.594371714256269</v>
      </c>
      <c r="P279" s="93">
        <f t="shared" ca="1" si="127"/>
        <v>74.594371714256269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194020</v>
      </c>
      <c r="M280" s="497">
        <f t="shared" ca="1" si="129"/>
        <v>194020</v>
      </c>
      <c r="N280" s="497">
        <f t="shared" ca="1" si="129"/>
        <v>144728</v>
      </c>
      <c r="O280" s="497">
        <f t="shared" ca="1" si="126"/>
        <v>74.594371714256269</v>
      </c>
      <c r="P280" s="497">
        <f t="shared" ca="1" si="127"/>
        <v>74.594371714256269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IFERROR(__xludf.DUMMYFUNCTION("IMPORTRANGE(""https://docs.google.com/spreadsheets/d/1MeEWN-I1oV_STSDYn1IFDPWt_1FKiwhDph83XaGc0o0/edit?usp=sharing"",""งบพรบ!DI53"")"),194020)</f>
        <v>194020</v>
      </c>
      <c r="M282" s="93">
        <f ca="1">IFERROR(__xludf.DUMMYFUNCTION("IMPORTRANGE(""https://docs.google.com/spreadsheets/d/1MeEWN-I1oV_STSDYn1IFDPWt_1FKiwhDph83XaGc0o0/edit?usp=sharing"",""งบพรบ!DN53"")"),194020)</f>
        <v>194020</v>
      </c>
      <c r="N282" s="93">
        <f ca="1">IFERROR(__xludf.DUMMYFUNCTION("IMPORTRANGE(""https://docs.google.com/spreadsheets/d/1MeEWN-I1oV_STSDYn1IFDPWt_1FKiwhDph83XaGc0o0/edit?usp=sharing"",""งบพรบ!DP53"")"),144728)</f>
        <v>144728</v>
      </c>
      <c r="O282" s="93">
        <f t="shared" ca="1" si="126"/>
        <v>74.594371714256269</v>
      </c>
      <c r="P282" s="93">
        <f t="shared" ca="1" si="127"/>
        <v>74.594371714256269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IFERROR(__xludf.DUMMYFUNCTION("IMPORTRANGE(""https://docs.google.com/spreadsheets/d/1MeEWN-I1oV_STSDYn1IFDPWt_1FKiwhDph83XaGc0o0/edit?usp=sharing"",""งบพรบ!DL53"")"),0)</f>
        <v>0</v>
      </c>
      <c r="M285" s="93">
        <f ca="1">IFERROR(__xludf.DUMMYFUNCTION("IMPORTRANGE(""https://docs.google.com/spreadsheets/d/1MeEWN-I1oV_STSDYn1IFDPWt_1FKiwhDph83XaGc0o0/edit?usp=sharing"",""งบพรบ!DO53"")"),0)</f>
        <v>0</v>
      </c>
      <c r="N285" s="93">
        <f ca="1">IFERROR(__xludf.DUMMYFUNCTION("IMPORTRANGE(""https://docs.google.com/spreadsheets/d/1MeEWN-I1oV_STSDYn1IFDPWt_1FKiwhDph83XaGc0o0/edit?usp=sharing"",""งบพรบ!DQ53"")"),0)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IFERROR(__xludf.DUMMYFUNCTION("IMPORTRANGE(""https://docs.google.com/spreadsheets/d/1QqKyyYR6Q21VydFLVH3TRQUabQu_ym0Zz7PgGX0-kHA/edit?usp=sharing"",""แผน!EC53"")"),250)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IFERROR(__xludf.DUMMYFUNCTION("IMPORTRANGE(""https://docs.google.com/spreadsheets/d/1QqKyyYR6Q21VydFLVH3TRQUabQu_ym0Zz7PgGX0-kHA/edit?usp=sharing"",""แผน!EB53"")"),25)</f>
        <v>25</v>
      </c>
      <c r="J288" s="676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IFERROR(__xludf.DUMMYFUNCTION("IMPORTRANGE(""https://docs.google.com/spreadsheets/d/1QqKyyYR6Q21VydFLVH3TRQUabQu_ym0Zz7PgGX0-kHA/edit?usp=sharing"",""แผน!EB53"")"),25)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IFERROR(__xludf.DUMMYFUNCTION("IMPORTRANGE(""https://docs.google.com/spreadsheets/d/1QqKyyYR6Q21VydFLVH3TRQUabQu_ym0Zz7PgGX0-kHA/edit?usp=sharing"",""แผน!EB53"")"),25)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IFERROR(__xludf.DUMMYFUNCTION("IMPORTRANGE(""https://docs.google.com/spreadsheets/d/1QqKyyYR6Q21VydFLVH3TRQUabQu_ym0Zz7PgGX0-kHA/edit?usp=sharing"",""แผน!EB53"")"),25)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IFERROR(__xludf.DUMMYFUNCTION("IMPORTRANGE(""https://docs.google.com/spreadsheets/d/1QqKyyYR6Q21VydFLVH3TRQUabQu_ym0Zz7PgGX0-kHA/edit?usp=sharing"",""แผน!EB53"")"),25)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283133</v>
      </c>
      <c r="O298" s="155">
        <f t="shared" ref="O298:O306" ca="1" si="136">IF(L298&gt;0,N298*100/L298,0)</f>
        <v>76.85477741585234</v>
      </c>
      <c r="P298" s="155">
        <f t="shared" ref="P298:P306" ca="1" si="137">IF(M298&gt;0,N298*100/M298,0)</f>
        <v>76.85477741585234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283133</v>
      </c>
      <c r="O300" s="93">
        <f t="shared" ca="1" si="136"/>
        <v>76.85477741585234</v>
      </c>
      <c r="P300" s="93">
        <f t="shared" ca="1" si="137"/>
        <v>76.85477741585234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368400</v>
      </c>
      <c r="N301" s="497">
        <f t="shared" ca="1" si="139"/>
        <v>283133</v>
      </c>
      <c r="O301" s="497">
        <f t="shared" ca="1" si="136"/>
        <v>76.85477741585234</v>
      </c>
      <c r="P301" s="497">
        <f t="shared" ca="1" si="137"/>
        <v>76.85477741585234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IFERROR(__xludf.DUMMYFUNCTION("IMPORTRANGE(""https://docs.google.com/spreadsheets/d/1MeEWN-I1oV_STSDYn1IFDPWt_1FKiwhDph83XaGc0o0/edit?usp=sharing"",""งบพรบ!DS53"")"),368400)</f>
        <v>368400</v>
      </c>
      <c r="M303" s="93">
        <f ca="1">IFERROR(__xludf.DUMMYFUNCTION("IMPORTRANGE(""https://docs.google.com/spreadsheets/d/1MeEWN-I1oV_STSDYn1IFDPWt_1FKiwhDph83XaGc0o0/edit?usp=sharing"",""งบพรบ!DX53"")"),368400)</f>
        <v>368400</v>
      </c>
      <c r="N303" s="93">
        <f ca="1">IFERROR(__xludf.DUMMYFUNCTION("IMPORTRANGE(""https://docs.google.com/spreadsheets/d/1MeEWN-I1oV_STSDYn1IFDPWt_1FKiwhDph83XaGc0o0/edit?usp=sharing"",""งบพรบ!DZ53"")"),283133)</f>
        <v>283133</v>
      </c>
      <c r="O303" s="93">
        <f t="shared" ca="1" si="136"/>
        <v>76.85477741585234</v>
      </c>
      <c r="P303" s="93">
        <f t="shared" ca="1" si="137"/>
        <v>76.85477741585234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IFERROR(__xludf.DUMMYFUNCTION("IMPORTRANGE(""https://docs.google.com/spreadsheets/d/1MeEWN-I1oV_STSDYn1IFDPWt_1FKiwhDph83XaGc0o0/edit?usp=sharing"",""งบพรบ!DV53"")"),0)</f>
        <v>0</v>
      </c>
      <c r="M306" s="93">
        <f ca="1">IFERROR(__xludf.DUMMYFUNCTION("IMPORTRANGE(""https://docs.google.com/spreadsheets/d/1MeEWN-I1oV_STSDYn1IFDPWt_1FKiwhDph83XaGc0o0/edit?usp=sharing"",""งบพรบ!DY53"")"),0)</f>
        <v>0</v>
      </c>
      <c r="N306" s="93">
        <f ca="1">IFERROR(__xludf.DUMMYFUNCTION("IMPORTRANGE(""https://docs.google.com/spreadsheets/d/1MeEWN-I1oV_STSDYn1IFDPWt_1FKiwhDph83XaGc0o0/edit?usp=sharing"",""งบพรบ!EA53"")"),0)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IFERROR(__xludf.DUMMYFUNCTION("IMPORTRANGE(""https://docs.google.com/spreadsheets/d/1QqKyyYR6Q21VydFLVH3TRQUabQu_ym0Zz7PgGX0-kHA/edit?usp=sharing"",""แผน!ED53"")"),20)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IFERROR(__xludf.DUMMYFUNCTION("IMPORTRANGE(""https://docs.google.com/spreadsheets/d/1QqKyyYR6Q21VydFLVH3TRQUabQu_ym0Zz7PgGX0-kHA/edit?usp=sharing"",""แผน!EE53"")"),4)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153000</v>
      </c>
      <c r="N315" s="155">
        <f t="shared" ca="1" si="143"/>
        <v>111002</v>
      </c>
      <c r="O315" s="155">
        <f t="shared" ref="O315:O323" ca="1" si="144">IF(L315&gt;0,N315*100/L315,0)</f>
        <v>72.550326797385623</v>
      </c>
      <c r="P315" s="155">
        <f t="shared" ref="P315:P323" ca="1" si="145">IF(M315&gt;0,N315*100/M315,0)</f>
        <v>72.550326797385623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153000</v>
      </c>
      <c r="N317" s="93">
        <f t="shared" ca="1" si="146"/>
        <v>111002</v>
      </c>
      <c r="O317" s="93">
        <f t="shared" ca="1" si="144"/>
        <v>72.550326797385623</v>
      </c>
      <c r="P317" s="93">
        <f t="shared" ca="1" si="145"/>
        <v>72.550326797385623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153000</v>
      </c>
      <c r="N318" s="497">
        <f t="shared" ca="1" si="147"/>
        <v>111002</v>
      </c>
      <c r="O318" s="497">
        <f t="shared" ca="1" si="144"/>
        <v>72.550326797385623</v>
      </c>
      <c r="P318" s="497">
        <f t="shared" ca="1" si="145"/>
        <v>72.550326797385623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IFERROR(__xludf.DUMMYFUNCTION("IMPORTRANGE(""https://docs.google.com/spreadsheets/d/1MeEWN-I1oV_STSDYn1IFDPWt_1FKiwhDph83XaGc0o0/edit?usp=sharing"",""งบพรบ!EC53"")"),153000)</f>
        <v>153000</v>
      </c>
      <c r="M320" s="93">
        <f ca="1">IFERROR(__xludf.DUMMYFUNCTION("IMPORTRANGE(""https://docs.google.com/spreadsheets/d/1MeEWN-I1oV_STSDYn1IFDPWt_1FKiwhDph83XaGc0o0/edit?usp=sharing"",""งบพรบ!EH53"")"),153000)</f>
        <v>153000</v>
      </c>
      <c r="N320" s="93">
        <f ca="1">IFERROR(__xludf.DUMMYFUNCTION("IMPORTRANGE(""https://docs.google.com/spreadsheets/d/1MeEWN-I1oV_STSDYn1IFDPWt_1FKiwhDph83XaGc0o0/edit?usp=sharing"",""งบพรบ!EJ53"")"),111002)</f>
        <v>111002</v>
      </c>
      <c r="O320" s="93">
        <f t="shared" ca="1" si="144"/>
        <v>72.550326797385623</v>
      </c>
      <c r="P320" s="93">
        <f t="shared" ca="1" si="145"/>
        <v>72.550326797385623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IFERROR(__xludf.DUMMYFUNCTION("IMPORTRANGE(""https://docs.google.com/spreadsheets/d/1MeEWN-I1oV_STSDYn1IFDPWt_1FKiwhDph83XaGc0o0/edit?usp=sharing"",""งบพรบ!EF53"")"),0)</f>
        <v>0</v>
      </c>
      <c r="M323" s="93">
        <f ca="1">IFERROR(__xludf.DUMMYFUNCTION("IMPORTRANGE(""https://docs.google.com/spreadsheets/d/1MeEWN-I1oV_STSDYn1IFDPWt_1FKiwhDph83XaGc0o0/edit?usp=sharing"",""งบพรบ!EI53"")"),0)</f>
        <v>0</v>
      </c>
      <c r="N323" s="93">
        <f ca="1">IFERROR(__xludf.DUMMYFUNCTION("IMPORTRANGE(""https://docs.google.com/spreadsheets/d/1MeEWN-I1oV_STSDYn1IFDPWt_1FKiwhDph83XaGc0o0/edit?usp=sharing"",""งบพรบ!EK53"")"),0)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IFERROR(__xludf.DUMMYFUNCTION("IMPORTRANGE(""https://docs.google.com/spreadsheets/d/1QqKyyYR6Q21VydFLVH3TRQUabQu_ym0Zz7PgGX0-kHA/edit?usp=sharing"",""แผน!EF53"")"),1)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IFERROR(__xludf.DUMMYFUNCTION("IMPORTRANGE(""https://docs.google.com/spreadsheets/d/1QqKyyYR6Q21VydFLVH3TRQUabQu_ym0Zz7PgGX0-kHA/edit?usp=sharing"",""แผน!EG53"")"),1600)</f>
        <v>1600</v>
      </c>
      <c r="J327" s="444">
        <f ca="1">J338+J341+J342+J343</f>
        <v>4551</v>
      </c>
      <c r="K327" s="445">
        <f ca="1">IF(I327&gt;0,J327*100/I327,0)</f>
        <v>284.4375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168000</v>
      </c>
      <c r="M328" s="155">
        <f t="shared" ca="1" si="149"/>
        <v>170500</v>
      </c>
      <c r="N328" s="155">
        <f t="shared" ca="1" si="149"/>
        <v>130634</v>
      </c>
      <c r="O328" s="155">
        <f t="shared" ref="O328:O336" ca="1" si="150">IF(L328&gt;0,N328*100/L328,0)</f>
        <v>77.75833333333334</v>
      </c>
      <c r="P328" s="155">
        <f t="shared" ref="P328:P336" ca="1" si="151">IF(M328&gt;0,N328*100/M328,0)</f>
        <v>76.618181818181824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168000</v>
      </c>
      <c r="M330" s="93">
        <f t="shared" ca="1" si="152"/>
        <v>170500</v>
      </c>
      <c r="N330" s="93">
        <f t="shared" ca="1" si="152"/>
        <v>130634</v>
      </c>
      <c r="O330" s="93">
        <f t="shared" ca="1" si="150"/>
        <v>77.75833333333334</v>
      </c>
      <c r="P330" s="93">
        <f t="shared" ca="1" si="151"/>
        <v>76.618181818181824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168000</v>
      </c>
      <c r="M331" s="497">
        <f t="shared" ca="1" si="153"/>
        <v>170500</v>
      </c>
      <c r="N331" s="497">
        <f t="shared" ca="1" si="153"/>
        <v>130634</v>
      </c>
      <c r="O331" s="497">
        <f t="shared" ca="1" si="150"/>
        <v>77.75833333333334</v>
      </c>
      <c r="P331" s="497">
        <f t="shared" ca="1" si="151"/>
        <v>76.618181818181824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IFERROR(__xludf.DUMMYFUNCTION("IMPORTRANGE(""https://docs.google.com/spreadsheets/d/1MeEWN-I1oV_STSDYn1IFDPWt_1FKiwhDph83XaGc0o0/edit?usp=sharing"",""งบพรบ!EM53"")"),168000)</f>
        <v>168000</v>
      </c>
      <c r="M333" s="93">
        <f ca="1">IFERROR(__xludf.DUMMYFUNCTION("IMPORTRANGE(""https://docs.google.com/spreadsheets/d/1MeEWN-I1oV_STSDYn1IFDPWt_1FKiwhDph83XaGc0o0/edit?usp=sharing"",""งบพรบ!ER53"")"),170500)</f>
        <v>170500</v>
      </c>
      <c r="N333" s="93">
        <f ca="1">IFERROR(__xludf.DUMMYFUNCTION("IMPORTRANGE(""https://docs.google.com/spreadsheets/d/1MeEWN-I1oV_STSDYn1IFDPWt_1FKiwhDph83XaGc0o0/edit?usp=sharing"",""งบพรบ!ET53"")"),130634)</f>
        <v>130634</v>
      </c>
      <c r="O333" s="93">
        <f t="shared" ca="1" si="150"/>
        <v>77.75833333333334</v>
      </c>
      <c r="P333" s="93">
        <f t="shared" ca="1" si="151"/>
        <v>76.618181818181824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IFERROR(__xludf.DUMMYFUNCTION("IMPORTRANGE(""https://docs.google.com/spreadsheets/d/1MeEWN-I1oV_STSDYn1IFDPWt_1FKiwhDph83XaGc0o0/edit?usp=sharing"",""งบพรบ!EP53"")"),0)</f>
        <v>0</v>
      </c>
      <c r="M336" s="93">
        <f ca="1">IFERROR(__xludf.DUMMYFUNCTION("IMPORTRANGE(""https://docs.google.com/spreadsheets/d/1MeEWN-I1oV_STSDYn1IFDPWt_1FKiwhDph83XaGc0o0/edit?usp=sharing"",""งบพรบ!ES53"")"),0)</f>
        <v>0</v>
      </c>
      <c r="N336" s="93">
        <f ca="1">IFERROR(__xludf.DUMMYFUNCTION("IMPORTRANGE(""https://docs.google.com/spreadsheets/d/1MeEWN-I1oV_STSDYn1IFDPWt_1FKiwhDph83XaGc0o0/edit?usp=sharing"",""งบพรบ!EU53"")"),0)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IFERROR(__xludf.DUMMYFUNCTION("IMPORTRANGE(""https://docs.google.com/spreadsheets/d/1QqKyyYR6Q21VydFLVH3TRQUabQu_ym0Zz7PgGX0-kHA/edit?usp=sharing"",""แผน!EG53"")"),1600)</f>
        <v>1600</v>
      </c>
      <c r="J338" s="270">
        <f ca="1">IFERROR(__xludf.DUMMYFUNCTION("IMPORTRANGE(""https://docs.google.com/spreadsheets/d/1kVcqe37tkHyjCSG3S0O1AXqVkqjo8mSIZil3BcpIysc/edit?usp=sharing"",""ศูนย์!D53"")"),4305)</f>
        <v>4305</v>
      </c>
      <c r="K338" s="497">
        <f ca="1">IF(I338&gt;0,J338*100/I338,0)</f>
        <v>269.0625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IFERROR(__xludf.DUMMYFUNCTION("IMPORTRANGE(""https://docs.google.com/spreadsheets/d/1QqKyyYR6Q21VydFLVH3TRQUabQu_ym0Zz7PgGX0-kHA/edit?usp=sharing"",""แผน!EH53"")"),5)</f>
        <v>5</v>
      </c>
      <c r="J340" s="270">
        <f ca="1">IFERROR(__xludf.DUMMYFUNCTION("IMPORTRANGE(""https://docs.google.com/spreadsheets/d/1kVcqe37tkHyjCSG3S0O1AXqVkqjo8mSIZil3BcpIysc/edit?usp=sharing"",""ศูนย์!E53"")"),4)</f>
        <v>4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IFERROR(__xludf.DUMMYFUNCTION("IMPORTRANGE(""https://docs.google.com/spreadsheets/d/1kVcqe37tkHyjCSG3S0O1AXqVkqjo8mSIZil3BcpIysc/edit?usp=sharing"",""ศูนย์!F53"")"),246)</f>
        <v>246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1015940</v>
      </c>
      <c r="M345" s="155">
        <f t="shared" ca="1" si="155"/>
        <v>1187940</v>
      </c>
      <c r="N345" s="155">
        <f t="shared" ca="1" si="155"/>
        <v>860006</v>
      </c>
      <c r="O345" s="155">
        <f t="shared" ref="O345:O353" ca="1" si="156">IF(L345&gt;0,N345*100/L345,0)</f>
        <v>84.651258932614127</v>
      </c>
      <c r="P345" s="155">
        <f t="shared" ref="P345:P353" ca="1" si="157">IF(M345&gt;0,N345*100/M345,0)</f>
        <v>72.394733740761325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1015940</v>
      </c>
      <c r="M347" s="93">
        <f t="shared" ca="1" si="158"/>
        <v>1187940</v>
      </c>
      <c r="N347" s="93">
        <f t="shared" ca="1" si="158"/>
        <v>860006</v>
      </c>
      <c r="O347" s="93">
        <f t="shared" ca="1" si="156"/>
        <v>84.651258932614127</v>
      </c>
      <c r="P347" s="93">
        <f t="shared" ca="1" si="157"/>
        <v>72.394733740761325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895340</v>
      </c>
      <c r="M348" s="497">
        <f t="shared" ca="1" si="159"/>
        <v>1067340</v>
      </c>
      <c r="N348" s="497">
        <f t="shared" ca="1" si="159"/>
        <v>739406</v>
      </c>
      <c r="O348" s="497">
        <f t="shared" ca="1" si="156"/>
        <v>82.583822905265038</v>
      </c>
      <c r="P348" s="497">
        <f t="shared" ca="1" si="157"/>
        <v>69.275582288680269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IFERROR(__xludf.DUMMYFUNCTION("IMPORTRANGE(""https://docs.google.com/spreadsheets/d/1MeEWN-I1oV_STSDYn1IFDPWt_1FKiwhDph83XaGc0o0/edit?usp=sharing"",""งบพรบ!EW53"")"),895340)</f>
        <v>895340</v>
      </c>
      <c r="M350" s="93">
        <f ca="1">IFERROR(__xludf.DUMMYFUNCTION("IMPORTRANGE(""https://docs.google.com/spreadsheets/d/1MeEWN-I1oV_STSDYn1IFDPWt_1FKiwhDph83XaGc0o0/edit?usp=sharing"",""งบพรบ!FB53"")"),1067340)</f>
        <v>1067340</v>
      </c>
      <c r="N350" s="93">
        <f ca="1">IFERROR(__xludf.DUMMYFUNCTION("IMPORTRANGE(""https://docs.google.com/spreadsheets/d/1MeEWN-I1oV_STSDYn1IFDPWt_1FKiwhDph83XaGc0o0/edit?usp=sharing"",""งบพรบ!FD53"")"),739406)</f>
        <v>739406</v>
      </c>
      <c r="O350" s="93">
        <f t="shared" ca="1" si="156"/>
        <v>82.583822905265038</v>
      </c>
      <c r="P350" s="93">
        <f t="shared" ca="1" si="157"/>
        <v>69.275582288680269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120600</v>
      </c>
      <c r="M351" s="497">
        <f t="shared" ca="1" si="160"/>
        <v>120600</v>
      </c>
      <c r="N351" s="497">
        <f t="shared" ca="1" si="160"/>
        <v>120600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IFERROR(__xludf.DUMMYFUNCTION("IMPORTRANGE(""https://docs.google.com/spreadsheets/d/1MeEWN-I1oV_STSDYn1IFDPWt_1FKiwhDph83XaGc0o0/edit?usp=sharing"",""งบพรบ!EZ53"")"),120600)</f>
        <v>120600</v>
      </c>
      <c r="M353" s="93">
        <f ca="1">IFERROR(__xludf.DUMMYFUNCTION("IMPORTRANGE(""https://docs.google.com/spreadsheets/d/1MeEWN-I1oV_STSDYn1IFDPWt_1FKiwhDph83XaGc0o0/edit?usp=sharing"",""งบพรบ!FC53"")"),120600)</f>
        <v>120600</v>
      </c>
      <c r="N353" s="93">
        <f ca="1">IFERROR(__xludf.DUMMYFUNCTION("IMPORTRANGE(""https://docs.google.com/spreadsheets/d/1MeEWN-I1oV_STSDYn1IFDPWt_1FKiwhDph83XaGc0o0/edit?usp=sharing"",""งบพรบ!FE53"")"),120600)</f>
        <v>120600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IFERROR(__xludf.DUMMYFUNCTION("IMPORTRANGE(""https://docs.google.com/spreadsheets/d/1QqKyyYR6Q21VydFLVH3TRQUabQu_ym0Zz7PgGX0-kHA/edit?usp=sharing"",""แผน!EP53"")"),300)</f>
        <v>300</v>
      </c>
      <c r="J355" s="464">
        <f ca="1">J362</f>
        <v>15</v>
      </c>
      <c r="K355" s="465">
        <f ca="1">IF(I355&gt;0,J355*100/I355,0)</f>
        <v>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IFERROR(__xludf.DUMMYFUNCTION("IMPORTRANGE(""https://docs.google.com/spreadsheets/d/1XWAQStnk-4SwqDmLtmXYiTMKHgktTP8We1SCoS47DrQ/edit?usp=sharing"",""จัดที่ดิน!W53"")"),258)</f>
        <v>258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IFERROR(__xludf.DUMMYFUNCTION("IMPORTRANGE(""https://docs.google.com/spreadsheets/d/1QqKyyYR6Q21VydFLVH3TRQUabQu_ym0Zz7PgGX0-kHA/edit?usp=sharing"",""แผน!EO53"")"),3000)</f>
        <v>3000</v>
      </c>
      <c r="J359" s="270">
        <f ca="1">IFERROR(__xludf.DUMMYFUNCTION("IMPORTRANGE(""https://docs.google.com/spreadsheets/d/1XWAQStnk-4SwqDmLtmXYiTMKHgktTP8We1SCoS47DrQ/edit?usp=sharing"",""จัดที่ดิน!X53"")"),2938.68)</f>
        <v>2938.68</v>
      </c>
      <c r="K359" s="497">
        <f t="shared" ca="1" si="161"/>
        <v>97.956000000000003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IFERROR(__xludf.DUMMYFUNCTION("IMPORTRANGE(""https://docs.google.com/spreadsheets/d/1QqKyyYR6Q21VydFLVH3TRQUabQu_ym0Zz7PgGX0-kHA/edit?usp=sharing"",""แผน!EP53"")"),300)</f>
        <v>300</v>
      </c>
      <c r="J360" s="270">
        <f ca="1">IFERROR(__xludf.DUMMYFUNCTION("IMPORTRANGE(""https://docs.google.com/spreadsheets/d/1XWAQStnk-4SwqDmLtmXYiTMKHgktTP8We1SCoS47DrQ/edit?usp=sharing"",""จัดที่ดิน!Y53"")"),41)</f>
        <v>41</v>
      </c>
      <c r="K360" s="497">
        <f t="shared" ca="1" si="161"/>
        <v>13.666666666666666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IFERROR(__xludf.DUMMYFUNCTION("IMPORTRANGE(""https://docs.google.com/spreadsheets/d/1XWAQStnk-4SwqDmLtmXYiTMKHgktTP8We1SCoS47DrQ/edit?usp=sharing"",""จัดที่ดิน!Z53"")"),482.36)</f>
        <v>482.36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IFERROR(__xludf.DUMMYFUNCTION("IMPORTRANGE(""https://docs.google.com/spreadsheets/d/1QqKyyYR6Q21VydFLVH3TRQUabQu_ym0Zz7PgGX0-kHA/edit?usp=sharing"",""แผน!EP53"")"),300)</f>
        <v>300</v>
      </c>
      <c r="J362" s="270">
        <f ca="1">IFERROR(__xludf.DUMMYFUNCTION("IMPORTRANGE(""https://docs.google.com/spreadsheets/d/1XWAQStnk-4SwqDmLtmXYiTMKHgktTP8We1SCoS47DrQ/edit?usp=sharing"",""จัดที่ดิน!AA53"")"),15)</f>
        <v>15</v>
      </c>
      <c r="K362" s="497">
        <f t="shared" ca="1" si="161"/>
        <v>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IFERROR(__xludf.DUMMYFUNCTION("IMPORTRANGE(""https://docs.google.com/spreadsheets/d/1XWAQStnk-4SwqDmLtmXYiTMKHgktTP8We1SCoS47DrQ/edit?usp=sharing"",""จัดที่ดิน!AB53"")"),314.68)</f>
        <v>314.68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340</v>
      </c>
      <c r="J364" s="478">
        <f t="shared" ca="1" si="162"/>
        <v>116</v>
      </c>
      <c r="K364" s="479">
        <f t="shared" ca="1" si="161"/>
        <v>34.117647058823529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IFERROR(__xludf.DUMMYFUNCTION("IMPORTRANGE(""https://docs.google.com/spreadsheets/d/1QqKyyYR6Q21VydFLVH3TRQUabQu_ym0Zz7PgGX0-kHA/edit?usp=sharing"",""แผน!EJ53"")"),100)</f>
        <v>100</v>
      </c>
      <c r="J365" s="490">
        <f ca="1">J372</f>
        <v>15</v>
      </c>
      <c r="K365" s="491">
        <f t="shared" ca="1" si="161"/>
        <v>15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IFERROR(__xludf.DUMMYFUNCTION("IMPORTRANGE(""https://docs.google.com/spreadsheets/d/1XWAQStnk-4SwqDmLtmXYiTMKHgktTP8We1SCoS47DrQ/edit?usp=sharing"",""จัดที่ดิน!E53"")"),70)</f>
        <v>70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IFERROR(__xludf.DUMMYFUNCTION("IMPORTRANGE(""https://docs.google.com/spreadsheets/d/1QqKyyYR6Q21VydFLVH3TRQUabQu_ym0Zz7PgGX0-kHA/edit?usp=sharing"",""แผน!EI53"")"),1000)</f>
        <v>1000</v>
      </c>
      <c r="J369" s="270">
        <f ca="1">IFERROR(__xludf.DUMMYFUNCTION("IMPORTRANGE(""https://docs.google.com/spreadsheets/d/1XWAQStnk-4SwqDmLtmXYiTMKHgktTP8We1SCoS47DrQ/edit?usp=sharing"",""จัดที่ดิน!F53"")"),1337.48)</f>
        <v>1337.48</v>
      </c>
      <c r="K369" s="497">
        <f t="shared" ca="1" si="163"/>
        <v>133.74799999999999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IFERROR(__xludf.DUMMYFUNCTION("IMPORTRANGE(""https://docs.google.com/spreadsheets/d/1QqKyyYR6Q21VydFLVH3TRQUabQu_ym0Zz7PgGX0-kHA/edit?usp=sharing"",""แผน!EJ53"")"),100)</f>
        <v>100</v>
      </c>
      <c r="J370" s="270">
        <f ca="1">IFERROR(__xludf.DUMMYFUNCTION("IMPORTRANGE(""https://docs.google.com/spreadsheets/d/1XWAQStnk-4SwqDmLtmXYiTMKHgktTP8We1SCoS47DrQ/edit?usp=sharing"",""จัดที่ดิน!G53"")"),37)</f>
        <v>37</v>
      </c>
      <c r="K370" s="497">
        <f t="shared" ca="1" si="163"/>
        <v>37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IFERROR(__xludf.DUMMYFUNCTION("IMPORTRANGE(""https://docs.google.com/spreadsheets/d/1XWAQStnk-4SwqDmLtmXYiTMKHgktTP8We1SCoS47DrQ/edit?usp=sharing"",""จัดที่ดิน!H53"")"),450.88)</f>
        <v>450.88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IFERROR(__xludf.DUMMYFUNCTION("IMPORTRANGE(""https://docs.google.com/spreadsheets/d/1QqKyyYR6Q21VydFLVH3TRQUabQu_ym0Zz7PgGX0-kHA/edit?usp=sharing"",""แผน!EJ53"")"),100)</f>
        <v>100</v>
      </c>
      <c r="J372" s="270">
        <f ca="1">IFERROR(__xludf.DUMMYFUNCTION("IMPORTRANGE(""https://docs.google.com/spreadsheets/d/1XWAQStnk-4SwqDmLtmXYiTMKHgktTP8We1SCoS47DrQ/edit?usp=sharing"",""จัดที่ดิน!I53"")"),15)</f>
        <v>15</v>
      </c>
      <c r="K372" s="497">
        <f t="shared" ca="1" si="163"/>
        <v>15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IFERROR(__xludf.DUMMYFUNCTION("IMPORTRANGE(""https://docs.google.com/spreadsheets/d/1XWAQStnk-4SwqDmLtmXYiTMKHgktTP8We1SCoS47DrQ/edit?usp=sharing"",""จัดที่ดิน!J53"")"),314.68)</f>
        <v>314.68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IFERROR(__xludf.DUMMYFUNCTION("IMPORTRANGE(""https://docs.google.com/spreadsheets/d/1QqKyyYR6Q21VydFLVH3TRQUabQu_ym0Zz7PgGX0-kHA/edit?usp=sharing"",""แผน!EU53"")"),240)</f>
        <v>240</v>
      </c>
      <c r="J374" s="490">
        <f ca="1">J381</f>
        <v>101</v>
      </c>
      <c r="K374" s="491">
        <f t="shared" ca="1" si="163"/>
        <v>42.083333333333336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IFERROR(__xludf.DUMMYFUNCTION("IMPORTRANGE(""https://docs.google.com/spreadsheets/d/1XWAQStnk-4SwqDmLtmXYiTMKHgktTP8We1SCoS47DrQ/edit?usp=sharing"",""จัดที่ดิน!AH53"")"),188)</f>
        <v>188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IFERROR(__xludf.DUMMYFUNCTION("IMPORTRANGE(""https://docs.google.com/spreadsheets/d/1QqKyyYR6Q21VydFLVH3TRQUabQu_ym0Zz7PgGX0-kHA/edit?usp=sharing"",""แผน!ET53"")"),2000)</f>
        <v>2000</v>
      </c>
      <c r="J378" s="270">
        <f ca="1">IFERROR(__xludf.DUMMYFUNCTION("IMPORTRANGE(""https://docs.google.com/spreadsheets/d/1XWAQStnk-4SwqDmLtmXYiTMKHgktTP8We1SCoS47DrQ/edit?usp=sharing"",""จัดที่ดิน!AI53"")"),1601.2)</f>
        <v>1601.2</v>
      </c>
      <c r="K378" s="497">
        <f t="shared" ca="1" si="164"/>
        <v>80.06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IFERROR(__xludf.DUMMYFUNCTION("IMPORTRANGE(""https://docs.google.com/spreadsheets/d/1QqKyyYR6Q21VydFLVH3TRQUabQu_ym0Zz7PgGX0-kHA/edit?usp=sharing"",""แผน!EU53"")"),240)</f>
        <v>240</v>
      </c>
      <c r="J379" s="270">
        <f ca="1">IFERROR(__xludf.DUMMYFUNCTION("IMPORTRANGE(""https://docs.google.com/spreadsheets/d/1XWAQStnk-4SwqDmLtmXYiTMKHgktTP8We1SCoS47DrQ/edit?usp=sharing"",""จัดที่ดิน!AJ53"")"),105)</f>
        <v>105</v>
      </c>
      <c r="K379" s="497">
        <f t="shared" ca="1" si="164"/>
        <v>43.75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IFERROR(__xludf.DUMMYFUNCTION("IMPORTRANGE(""https://docs.google.com/spreadsheets/d/1XWAQStnk-4SwqDmLtmXYiTMKHgktTP8We1SCoS47DrQ/edit?usp=sharing"",""จัดที่ดิน!AK53"")"),1515.46)</f>
        <v>1515.46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IFERROR(__xludf.DUMMYFUNCTION("IMPORTRANGE(""https://docs.google.com/spreadsheets/d/1QqKyyYR6Q21VydFLVH3TRQUabQu_ym0Zz7PgGX0-kHA/edit?usp=sharing"",""แผน!EU53"")"),240)</f>
        <v>240</v>
      </c>
      <c r="J381" s="270">
        <f ca="1">IFERROR(__xludf.DUMMYFUNCTION("IMPORTRANGE(""https://docs.google.com/spreadsheets/d/1XWAQStnk-4SwqDmLtmXYiTMKHgktTP8We1SCoS47DrQ/edit?usp=sharing"",""จัดที่ดิน!AL53"")"),101)</f>
        <v>101</v>
      </c>
      <c r="K381" s="497">
        <f t="shared" ca="1" si="164"/>
        <v>42.083333333333336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IFERROR(__xludf.DUMMYFUNCTION("IMPORTRANGE(""https://docs.google.com/spreadsheets/d/1XWAQStnk-4SwqDmLtmXYiTMKHgktTP8We1SCoS47DrQ/edit?usp=sharing"",""จัดที่ดิน!AM53"")"),1483.98)</f>
        <v>1483.98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IFERROR(__xludf.DUMMYFUNCTION("IMPORTRANGE(""https://docs.google.com/spreadsheets/d/1QqKyyYR6Q21VydFLVH3TRQUabQu_ym0Zz7PgGX0-kHA/edit?usp=sharing"",""แผน!EW53"")"),10)</f>
        <v>10</v>
      </c>
      <c r="J385" s="501">
        <f ca="1">IFERROR(__xludf.DUMMYFUNCTION("IMPORTRANGE(""https://docs.google.com/spreadsheets/d/1XWAQStnk-4SwqDmLtmXYiTMKHgktTP8We1SCoS47DrQ/edit?usp=sharing"",""จัดที่ดิน!AP53"")"),25)</f>
        <v>25</v>
      </c>
      <c r="K385" s="502">
        <f ca="1">IF(I385&gt;0,J385*100/I385,0)</f>
        <v>250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IFERROR(__xludf.DUMMYFUNCTION("IMPORTRANGE(""https://docs.google.com/spreadsheets/d/1MeEWN-I1oV_STSDYn1IFDPWt_1FKiwhDph83XaGc0o0/edit?usp=sharing"",""งบพรบ!FG53"")"),0)</f>
        <v>0</v>
      </c>
      <c r="M394" s="93">
        <f ca="1">IFERROR(__xludf.DUMMYFUNCTION("IMPORTRANGE(""https://docs.google.com/spreadsheets/d/1MeEWN-I1oV_STSDYn1IFDPWt_1FKiwhDph83XaGc0o0/edit?usp=sharing"",""งบพรบ!FL53"")"),0)</f>
        <v>0</v>
      </c>
      <c r="N394" s="93">
        <f ca="1">IFERROR(__xludf.DUMMYFUNCTION("IMPORTRANGE(""https://docs.google.com/spreadsheets/d/1MeEWN-I1oV_STSDYn1IFDPWt_1FKiwhDph83XaGc0o0/edit?usp=sharing"",""งบพรบ!FN53"")"),0)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IFERROR(__xludf.DUMMYFUNCTION("IMPORTRANGE(""https://docs.google.com/spreadsheets/d/1MeEWN-I1oV_STSDYn1IFDPWt_1FKiwhDph83XaGc0o0/edit?usp=sharing"",""งบพรบ!FJ53"")"),0)</f>
        <v>0</v>
      </c>
      <c r="M397" s="93">
        <f ca="1">IFERROR(__xludf.DUMMYFUNCTION("IMPORTRANGE(""https://docs.google.com/spreadsheets/d/1MeEWN-I1oV_STSDYn1IFDPWt_1FKiwhDph83XaGc0o0/edit?usp=sharing"",""งบพรบ!FM53"")"),0)</f>
        <v>0</v>
      </c>
      <c r="N397" s="93">
        <f ca="1">IFERROR(__xludf.DUMMYFUNCTION("IMPORTRANGE(""https://docs.google.com/spreadsheets/d/1MeEWN-I1oV_STSDYn1IFDPWt_1FKiwhDph83XaGc0o0/edit?usp=sharing"",""งบพรบ!FO53"")"),0)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IFERROR(__xludf.DUMMYFUNCTION("IMPORTRANGE(""https://docs.google.com/spreadsheets/d/1MeEWN-I1oV_STSDYn1IFDPWt_1FKiwhDph83XaGc0o0/edit?usp=sharing"",""งบพรบ!FQ53"")"),0)</f>
        <v>0</v>
      </c>
      <c r="M407" s="93">
        <f ca="1">IFERROR(__xludf.DUMMYFUNCTION("IMPORTRANGE(""https://docs.google.com/spreadsheets/d/1MeEWN-I1oV_STSDYn1IFDPWt_1FKiwhDph83XaGc0o0/edit?usp=sharing"",""งบพรบ!FV53"")"),0)</f>
        <v>0</v>
      </c>
      <c r="N407" s="93">
        <f ca="1">IFERROR(__xludf.DUMMYFUNCTION("IMPORTRANGE(""https://docs.google.com/spreadsheets/d/1MeEWN-I1oV_STSDYn1IFDPWt_1FKiwhDph83XaGc0o0/edit?usp=sharing"",""งบพรบ!FX53"")"),0)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IFERROR(__xludf.DUMMYFUNCTION("IMPORTRANGE(""https://docs.google.com/spreadsheets/d/1MeEWN-I1oV_STSDYn1IFDPWt_1FKiwhDph83XaGc0o0/edit?usp=sharing"",""งบพรบ!FT53"")"),0)</f>
        <v>0</v>
      </c>
      <c r="M410" s="93">
        <f ca="1">IFERROR(__xludf.DUMMYFUNCTION("IMPORTRANGE(""https://docs.google.com/spreadsheets/d/1MeEWN-I1oV_STSDYn1IFDPWt_1FKiwhDph83XaGc0o0/edit?usp=sharing"",""งบพรบ!FW53"")"),0)</f>
        <v>0</v>
      </c>
      <c r="N410" s="93">
        <f ca="1">IFERROR(__xludf.DUMMYFUNCTION("IMPORTRANGE(""https://docs.google.com/spreadsheets/d/1MeEWN-I1oV_STSDYn1IFDPWt_1FKiwhDph83XaGc0o0/edit?usp=sharing"",""งบพรบ!FY53"")"),0)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3573261</v>
      </c>
      <c r="M414" s="549">
        <f t="shared" ca="1" si="181"/>
        <v>3573261</v>
      </c>
      <c r="N414" s="549">
        <f t="shared" si="181"/>
        <v>1635975.23</v>
      </c>
      <c r="O414" s="549">
        <f ca="1">IF(L414&gt;0,N414*100/L414,0)</f>
        <v>45.783815679850981</v>
      </c>
      <c r="P414" s="549">
        <f ca="1">IF(M414&gt;0,N414*100/M414,0)</f>
        <v>45.783815679850981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95860</v>
      </c>
      <c r="M419" s="155">
        <f t="shared" ca="1" si="184"/>
        <v>95860</v>
      </c>
      <c r="N419" s="155">
        <f t="shared" si="184"/>
        <v>81320</v>
      </c>
      <c r="O419" s="155">
        <f t="shared" ref="O419:O424" ca="1" si="185">IF(L419&gt;0,N419*100/L419,0)</f>
        <v>84.832046734821617</v>
      </c>
      <c r="P419" s="155">
        <f t="shared" ref="P419:P424" ca="1" si="186">IF(M419&gt;0,N419*100/M419,0)</f>
        <v>84.832046734821617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95860</v>
      </c>
      <c r="M421" s="93">
        <f t="shared" ca="1" si="187"/>
        <v>95860</v>
      </c>
      <c r="N421" s="93">
        <f t="shared" si="187"/>
        <v>81320</v>
      </c>
      <c r="O421" s="93">
        <f t="shared" ca="1" si="185"/>
        <v>84.832046734821617</v>
      </c>
      <c r="P421" s="93">
        <f t="shared" ca="1" si="186"/>
        <v>84.832046734821617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95860</v>
      </c>
      <c r="M422" s="497">
        <f t="shared" ca="1" si="188"/>
        <v>95860</v>
      </c>
      <c r="N422" s="497">
        <f t="shared" si="188"/>
        <v>81320</v>
      </c>
      <c r="O422" s="497">
        <f t="shared" ca="1" si="185"/>
        <v>84.832046734821617</v>
      </c>
      <c r="P422" s="497">
        <f t="shared" ca="1" si="186"/>
        <v>84.832046734821617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IFERROR(__xludf.DUMMYFUNCTION("IMPORTRANGE(""https://docs.google.com/spreadsheets/d/1QqKyyYR6Q21VydFLVH3TRQUabQu_ym0Zz7PgGX0-kHA/edit?usp=sharing"",""แผน!EY53"")"),95860)</f>
        <v>95860</v>
      </c>
      <c r="M424" s="93">
        <f ca="1">L424</f>
        <v>95860</v>
      </c>
      <c r="N424" s="93">
        <f>N425+N426+N427+N428</f>
        <v>81320</v>
      </c>
      <c r="O424" s="93">
        <f t="shared" ca="1" si="185"/>
        <v>84.832046734821617</v>
      </c>
      <c r="P424" s="93">
        <f t="shared" ca="1" si="186"/>
        <v>84.832046734821617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65020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16300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IFERROR(__xludf.DUMMYFUNCTION("IMPORTRANGE(""https://docs.google.com/spreadsheets/d/1QqKyyYR6Q21VydFLVH3TRQUabQu_ym0Zz7PgGX0-kHA/edit?usp=sharing"",""แผน!FC53"")"),20)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IFERROR(__xludf.DUMMYFUNCTION("IMPORTRANGE(""https://docs.google.com/spreadsheets/d/1QqKyyYR6Q21VydFLVH3TRQUabQu_ym0Zz7PgGX0-kHA/edit?usp=sharing"",""แผน!FD53"")"),0)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IFERROR(__xludf.DUMMYFUNCTION("IMPORTRANGE(""https://docs.google.com/spreadsheets/d/1QqKyyYR6Q21VydFLVH3TRQUabQu_ym0Zz7PgGX0-kHA/edit?usp=sharing"",""แผน!FF53"")"),20)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75</v>
      </c>
      <c r="J442" s="585">
        <f t="shared" si="195"/>
        <v>75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200</v>
      </c>
      <c r="J443" s="565">
        <f t="shared" si="196"/>
        <v>200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486400</v>
      </c>
      <c r="M444" s="195">
        <f t="shared" ca="1" si="197"/>
        <v>486400</v>
      </c>
      <c r="N444" s="195">
        <f t="shared" si="197"/>
        <v>254557</v>
      </c>
      <c r="O444" s="195">
        <f t="shared" ref="O444:O449" ca="1" si="198">IF(L444&gt;0,N444*100/L444,0)</f>
        <v>52.334909539473685</v>
      </c>
      <c r="P444" s="195">
        <f t="shared" ref="P444:P449" ca="1" si="199">IF(M444&gt;0,N444*100/M444,0)</f>
        <v>52.334909539473685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486400</v>
      </c>
      <c r="M446" s="93">
        <f t="shared" ca="1" si="200"/>
        <v>486400</v>
      </c>
      <c r="N446" s="93">
        <f t="shared" si="200"/>
        <v>254557</v>
      </c>
      <c r="O446" s="93">
        <f t="shared" ca="1" si="198"/>
        <v>52.334909539473685</v>
      </c>
      <c r="P446" s="93">
        <f t="shared" ca="1" si="199"/>
        <v>52.334909539473685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486400</v>
      </c>
      <c r="M447" s="497">
        <f t="shared" ca="1" si="201"/>
        <v>486400</v>
      </c>
      <c r="N447" s="497">
        <f t="shared" si="201"/>
        <v>254557</v>
      </c>
      <c r="O447" s="497">
        <f t="shared" ca="1" si="198"/>
        <v>52.334909539473685</v>
      </c>
      <c r="P447" s="497">
        <f t="shared" ca="1" si="199"/>
        <v>52.334909539473685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IFERROR(__xludf.DUMMYFUNCTION("IMPORTRANGE(""https://docs.google.com/spreadsheets/d/1QqKyyYR6Q21VydFLVH3TRQUabQu_ym0Zz7PgGX0-kHA/edit?usp=sharing"",""แผน!FJ53"")"),486400)</f>
        <v>486400</v>
      </c>
      <c r="M449" s="93">
        <f ca="1">L449</f>
        <v>486400</v>
      </c>
      <c r="N449" s="93">
        <f>N450+N451+N452+N453</f>
        <v>254557</v>
      </c>
      <c r="O449" s="93">
        <f t="shared" ca="1" si="198"/>
        <v>52.334909539473685</v>
      </c>
      <c r="P449" s="93">
        <f t="shared" ca="1" si="199"/>
        <v>52.334909539473685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97800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103567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53190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IFERROR(__xludf.DUMMYFUNCTION("IMPORTRANGE(""https://docs.google.com/spreadsheets/d/1QqKyyYR6Q21VydFLVH3TRQUabQu_ym0Zz7PgGX0-kHA/edit?usp=sharing"",""แผน!FN53"")"),75)</f>
        <v>75</v>
      </c>
      <c r="J460" s="215">
        <v>75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IFERROR(__xludf.DUMMYFUNCTION("IMPORTRANGE(""https://docs.google.com/spreadsheets/d/1QqKyyYR6Q21VydFLVH3TRQUabQu_ym0Zz7PgGX0-kHA/edit?usp=sharing"",""แผน!FO53"")"),200)</f>
        <v>200</v>
      </c>
      <c r="J462" s="215">
        <v>200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IFERROR(__xludf.DUMMYFUNCTION("IMPORTRANGE(""https://docs.google.com/spreadsheets/d/1QqKyyYR6Q21VydFLVH3TRQUabQu_ym0Zz7PgGX0-kHA/edit?usp=sharing"",""แผน!FO53"")"),200)</f>
        <v>200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IFERROR(__xludf.DUMMYFUNCTION("IMPORTRANGE(""https://docs.google.com/spreadsheets/d/1QqKyyYR6Q21VydFLVH3TRQUabQu_ym0Zz7PgGX0-kHA/edit?usp=sharing"",""แผน!FN53"")"),75)</f>
        <v>75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IFERROR(__xludf.DUMMYFUNCTION("IMPORTRANGE(""https://docs.google.com/spreadsheets/d/1QqKyyYR6Q21VydFLVH3TRQUabQu_ym0Zz7PgGX0-kHA/edit?usp=sharing"",""แผน!FX53"")"),131)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IFERROR(__xludf.DUMMYFUNCTION("IMPORTRANGE(""https://docs.google.com/spreadsheets/d/1QqKyyYR6Q21VydFLVH3TRQUabQu_ym0Zz7PgGX0-kHA/edit?usp=sharing"",""แผน!FW53"")"),1300)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1166838</v>
      </c>
      <c r="M467" s="195">
        <f t="shared" ca="1" si="206"/>
        <v>1166838</v>
      </c>
      <c r="N467" s="195">
        <f t="shared" si="206"/>
        <v>304561</v>
      </c>
      <c r="O467" s="195">
        <f t="shared" ref="O467:O472" ca="1" si="207">IF(L467&gt;0,N467*100/L467,0)</f>
        <v>26.101395395076267</v>
      </c>
      <c r="P467" s="195">
        <f t="shared" ref="P467:P472" ca="1" si="208">IF(M467&gt;0,N467*100/M467,0)</f>
        <v>26.101395395076267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1166838</v>
      </c>
      <c r="M469" s="93">
        <f t="shared" ca="1" si="209"/>
        <v>1166838</v>
      </c>
      <c r="N469" s="93">
        <f t="shared" si="209"/>
        <v>304561</v>
      </c>
      <c r="O469" s="93">
        <f t="shared" ca="1" si="207"/>
        <v>26.101395395076267</v>
      </c>
      <c r="P469" s="93">
        <f t="shared" ca="1" si="208"/>
        <v>26.101395395076267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1166838</v>
      </c>
      <c r="M470" s="497">
        <f t="shared" ca="1" si="210"/>
        <v>1166838</v>
      </c>
      <c r="N470" s="497">
        <f t="shared" si="210"/>
        <v>304561</v>
      </c>
      <c r="O470" s="497">
        <f t="shared" ca="1" si="207"/>
        <v>26.101395395076267</v>
      </c>
      <c r="P470" s="497">
        <f t="shared" ca="1" si="208"/>
        <v>26.101395395076267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IFERROR(__xludf.DUMMYFUNCTION("IMPORTRANGE(""https://docs.google.com/spreadsheets/d/1QqKyyYR6Q21VydFLVH3TRQUabQu_ym0Zz7PgGX0-kHA/edit?usp=sharing"",""แผน!FS53"")"),1166838)</f>
        <v>1166838</v>
      </c>
      <c r="M472" s="93">
        <f ca="1">L472</f>
        <v>1166838</v>
      </c>
      <c r="N472" s="93">
        <f>N473+N474+N475+N476</f>
        <v>304561</v>
      </c>
      <c r="O472" s="93">
        <f t="shared" ca="1" si="207"/>
        <v>26.101395395076267</v>
      </c>
      <c r="P472" s="93">
        <f t="shared" ca="1" si="208"/>
        <v>26.101395395076267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159821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104000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40740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IFERROR(__xludf.DUMMYFUNCTION("IMPORTRANGE(""https://docs.google.com/spreadsheets/d/1QqKyyYR6Q21VydFLVH3TRQUabQu_ym0Zz7PgGX0-kHA/edit?usp=sharing"",""แผน!FY53"")"),1170)</f>
        <v>1170</v>
      </c>
      <c r="J483" s="215">
        <v>1300</v>
      </c>
      <c r="K483" s="497">
        <f ca="1">IF(I483&gt;0,J483*100/I483,0)</f>
        <v>111.11111111111111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IFERROR(__xludf.DUMMYFUNCTION("IMPORTRANGE(""https://docs.google.com/spreadsheets/d/1QqKyyYR6Q21VydFLVH3TRQUabQu_ym0Zz7PgGX0-kHA/edit?usp=sharing"",""แผน!FZ53"")"),117)</f>
        <v>117</v>
      </c>
      <c r="J485" s="215">
        <v>130</v>
      </c>
      <c r="K485" s="497">
        <f ca="1">IF(I485&gt;0,J485*100/I485,0)</f>
        <v>111.11111111111111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IFERROR(__xludf.DUMMYFUNCTION("IMPORTRANGE(""https://docs.google.com/spreadsheets/d/1QqKyyYR6Q21VydFLVH3TRQUabQu_ym0Zz7PgGX0-kHA/edit?usp=sharing"",""แผน!GA53"")"),130)</f>
        <v>130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IFERROR(__xludf.DUMMYFUNCTION("IMPORTRANGE(""https://docs.google.com/spreadsheets/d/1QqKyyYR6Q21VydFLVH3TRQUabQu_ym0Zz7PgGX0-kHA/edit?usp=sharing"",""แผน!GB53"")"),13)</f>
        <v>13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IFERROR(__xludf.DUMMYFUNCTION("IMPORTRANGE(""https://docs.google.com/spreadsheets/d/1QqKyyYR6Q21VydFLVH3TRQUabQu_ym0Zz7PgGX0-kHA/edit?usp=sharing"",""แผน!FY53"")"),1170)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IFERROR(__xludf.DUMMYFUNCTION("IMPORTRANGE(""https://docs.google.com/spreadsheets/d/1QqKyyYR6Q21VydFLVH3TRQUabQu_ym0Zz7PgGX0-kHA/edit?usp=sharing"",""แผน!GA53"")"),130)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385003</v>
      </c>
      <c r="O523" s="195">
        <f t="shared" ref="O523:O528" ca="1" si="227">IF(L523&gt;0,N523*100/L523,0)</f>
        <v>90.067608665138252</v>
      </c>
      <c r="P523" s="195">
        <f t="shared" ref="P523:P528" ca="1" si="228">IF(M523&gt;0,N523*100/M523,0)</f>
        <v>90.067608665138252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385003</v>
      </c>
      <c r="O525" s="93">
        <f t="shared" ca="1" si="227"/>
        <v>90.067608665138252</v>
      </c>
      <c r="P525" s="93">
        <f t="shared" ca="1" si="228"/>
        <v>90.067608665138252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385003</v>
      </c>
      <c r="O526" s="497">
        <f t="shared" ca="1" si="227"/>
        <v>90.067608665138252</v>
      </c>
      <c r="P526" s="497">
        <f t="shared" ca="1" si="228"/>
        <v>90.067608665138252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IFERROR(__xludf.DUMMYFUNCTION("IMPORTRANGE(""https://docs.google.com/spreadsheets/d/1QqKyyYR6Q21VydFLVH3TRQUabQu_ym0Zz7PgGX0-kHA/edit?usp=sharing"",""แผน!GQ53"")"),427460)</f>
        <v>427460</v>
      </c>
      <c r="M528" s="93">
        <f ca="1">L528</f>
        <v>427460</v>
      </c>
      <c r="N528" s="93">
        <f>N529+N530+N531+N532</f>
        <v>385003</v>
      </c>
      <c r="O528" s="93">
        <f t="shared" ca="1" si="227"/>
        <v>90.067608665138252</v>
      </c>
      <c r="P528" s="93">
        <f t="shared" ca="1" si="228"/>
        <v>90.067608665138252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109713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25290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IFERROR(__xludf.DUMMYFUNCTION("IMPORTRANGE(""https://docs.google.com/spreadsheets/d/1QqKyyYR6Q21VydFLVH3TRQUabQu_ym0Zz7PgGX0-kHA/edit?usp=sharing"",""แผน!GU53"")"),50)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IFERROR(__xludf.DUMMYFUNCTION("IMPORTRANGE(""https://docs.google.com/spreadsheets/d/1QqKyyYR6Q21VydFLVH3TRQUabQu_ym0Zz7PgGX0-kHA/edit?usp=sharing"",""แผน!GV53"")"),50)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IFERROR(__xludf.DUMMYFUNCTION("IMPORTRANGE(""https://docs.google.com/spreadsheets/d/1QqKyyYR6Q21VydFLVH3TRQUabQu_ym0Zz7PgGX0-kHA/edit?usp=sharing"",""แผน!GY53"")"),50)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IFERROR(__xludf.DUMMYFUNCTION("IMPORTRANGE(""https://docs.google.com/spreadsheets/d/1QqKyyYR6Q21VydFLVH3TRQUabQu_ym0Zz7PgGX0-kHA/edit?usp=sharing"",""แผน!GZ53"")"),50)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62938</v>
      </c>
      <c r="J543" s="682">
        <f t="shared" si="235"/>
        <v>47317.4925</v>
      </c>
      <c r="K543" s="683">
        <f t="shared" ca="1" si="234"/>
        <v>75.181118720010176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989703</v>
      </c>
      <c r="M544" s="155">
        <f t="shared" ca="1" si="236"/>
        <v>989703</v>
      </c>
      <c r="N544" s="155">
        <f t="shared" si="236"/>
        <v>425680.23</v>
      </c>
      <c r="O544" s="155">
        <f t="shared" ref="O544:O549" ca="1" si="237">IF(L544&gt;0,N544*100/L544,0)</f>
        <v>43.010906302193689</v>
      </c>
      <c r="P544" s="155">
        <f t="shared" ref="P544:P549" ca="1" si="238">IF(M544&gt;0,N544*100/M544,0)</f>
        <v>43.010906302193689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989703</v>
      </c>
      <c r="M546" s="93">
        <f t="shared" ca="1" si="240"/>
        <v>989703</v>
      </c>
      <c r="N546" s="93">
        <f t="shared" si="240"/>
        <v>425680.23</v>
      </c>
      <c r="O546" s="93">
        <f t="shared" ca="1" si="237"/>
        <v>43.010906302193689</v>
      </c>
      <c r="P546" s="93">
        <f t="shared" ca="1" si="238"/>
        <v>43.010906302193689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989703</v>
      </c>
      <c r="M547" s="497">
        <f t="shared" ca="1" si="241"/>
        <v>989703</v>
      </c>
      <c r="N547" s="497">
        <f t="shared" si="241"/>
        <v>425680.23</v>
      </c>
      <c r="O547" s="497">
        <f t="shared" ca="1" si="237"/>
        <v>43.010906302193689</v>
      </c>
      <c r="P547" s="497">
        <f t="shared" ca="1" si="238"/>
        <v>43.010906302193689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IFERROR(__xludf.DUMMYFUNCTION("IMPORTRANGE(""https://docs.google.com/spreadsheets/d/1QqKyyYR6Q21VydFLVH3TRQUabQu_ym0Zz7PgGX0-kHA/edit?usp=sharing"",""แผน!HB53"")"),989703)</f>
        <v>989703</v>
      </c>
      <c r="M549" s="93">
        <f ca="1">L549</f>
        <v>989703</v>
      </c>
      <c r="N549" s="93">
        <f>N550+N551+N552+N553+N554</f>
        <v>425680.23</v>
      </c>
      <c r="O549" s="93">
        <f t="shared" ca="1" si="237"/>
        <v>43.010906302193689</v>
      </c>
      <c r="P549" s="93">
        <f t="shared" ca="1" si="238"/>
        <v>43.010906302193689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104000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321680.23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62938</v>
      </c>
      <c r="J559" s="703">
        <f t="shared" si="245"/>
        <v>47317.4925</v>
      </c>
      <c r="K559" s="672">
        <f t="shared" ref="K559:K561" ca="1" si="246">IF(I559&gt;0,J559*100/I559,0)</f>
        <v>75.181118720010176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IFERROR(__xludf.DUMMYFUNCTION("IMPORTRANGE(""https://docs.google.com/spreadsheets/d/1QqKyyYR6Q21VydFLVH3TRQUabQu_ym0Zz7PgGX0-kHA/edit?usp=sharing"",""แผน!HH53"")"),62938)</f>
        <v>62938</v>
      </c>
      <c r="J560" s="193">
        <f t="shared" ref="J560:J561" si="247">J562+J564+J566</f>
        <v>62937.732499999998</v>
      </c>
      <c r="K560" s="411">
        <f t="shared" ca="1" si="246"/>
        <v>99.999574978550314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IFERROR(__xludf.DUMMYFUNCTION("IMPORTRANGE(""https://docs.google.com/spreadsheets/d/1QqKyyYR6Q21VydFLVH3TRQUabQu_ym0Zz7PgGX0-kHA/edit?usp=sharing"",""แผน!HG53"")"),4165)</f>
        <v>4165</v>
      </c>
      <c r="J561" s="193">
        <f t="shared" si="247"/>
        <v>4165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43021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3038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15782.717500000001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858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4134.0150000000003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269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IFERROR(__xludf.DUMMYFUNCTION("IMPORTRANGE(""https://docs.google.com/spreadsheets/d/1QqKyyYR6Q21VydFLVH3TRQUabQu_ym0Zz7PgGX0-kHA/edit?usp=sharing"",""แผน!HH53"")"),62938)</f>
        <v>62938</v>
      </c>
      <c r="J568" s="676">
        <f t="shared" ref="J568:J569" si="248">J570+J572+J574</f>
        <v>62938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IFERROR(__xludf.DUMMYFUNCTION("IMPORTRANGE(""https://docs.google.com/spreadsheets/d/1QqKyyYR6Q21VydFLVH3TRQUabQu_ym0Zz7PgGX0-kHA/edit?usp=sharing"",""แผน!HG53"")"),4165)</f>
        <v>4165</v>
      </c>
      <c r="J569" s="676">
        <f t="shared" si="248"/>
        <v>4165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43021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3038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15783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858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4134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269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IFERROR(__xludf.DUMMYFUNCTION("IMPORTRANGE(""https://docs.google.com/spreadsheets/d/1QqKyyYR6Q21VydFLVH3TRQUabQu_ym0Zz7PgGX0-kHA/edit?usp=sharing"",""แผน!HH53"")"),62938)</f>
        <v>62938</v>
      </c>
      <c r="J576" s="676">
        <f t="shared" ref="J576:J577" si="250">J578+J580+J582+J588+J590</f>
        <v>47317.4925</v>
      </c>
      <c r="K576" s="411">
        <f t="shared" ref="K576:K577" ca="1" si="251">IF(I576&gt;0,J576*100/I576,0)</f>
        <v>75.181118720010176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IFERROR(__xludf.DUMMYFUNCTION("IMPORTRANGE(""https://docs.google.com/spreadsheets/d/1QqKyyYR6Q21VydFLVH3TRQUabQu_ym0Zz7PgGX0-kHA/edit?usp=sharing"",""แผน!HG53"")"),4165)</f>
        <v>4165</v>
      </c>
      <c r="J577" s="676">
        <f t="shared" si="250"/>
        <v>3261</v>
      </c>
      <c r="K577" s="411">
        <f t="shared" ca="1" si="251"/>
        <v>78.295318127250894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43021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3038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4152.4925000000003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218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144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5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144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5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36174.33</v>
      </c>
      <c r="J592" s="703">
        <f t="shared" si="253"/>
        <v>8253</v>
      </c>
      <c r="K592" s="672">
        <f t="shared" ref="K592:K594" ca="1" si="254">IF(I592&gt;0,J592*100/I592,0)</f>
        <v>22.814520683589716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IFERROR(__xludf.DUMMYFUNCTION("IMPORTRANGE(""https://docs.google.com/spreadsheets/d/1QqKyyYR6Q21VydFLVH3TRQUabQu_ym0Zz7PgGX0-kHA/edit?usp=sharing"",""แผน!HJ53"")"),36174.33)</f>
        <v>36174.33</v>
      </c>
      <c r="J593" s="193">
        <f t="shared" ref="J593:J594" si="255">J595+J603+J609</f>
        <v>8253</v>
      </c>
      <c r="K593" s="411">
        <f t="shared" ca="1" si="254"/>
        <v>22.814520683589716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IFERROR(__xludf.DUMMYFUNCTION("IMPORTRANGE(""https://docs.google.com/spreadsheets/d/1QqKyyYR6Q21VydFLVH3TRQUabQu_ym0Zz7PgGX0-kHA/edit?usp=sharing"",""แผน!HI53"")"),2161)</f>
        <v>2161</v>
      </c>
      <c r="J594" s="193">
        <f t="shared" si="255"/>
        <v>416</v>
      </c>
      <c r="K594" s="411">
        <f t="shared" ca="1" si="254"/>
        <v>19.250347061545583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7832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398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7832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398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421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421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IFERROR(__xludf.DUMMYFUNCTION("IMPORTRANGE(""https://docs.google.com/spreadsheets/d/1QqKyyYR6Q21VydFLVH3TRQUabQu_ym0Zz7PgGX0-kHA/edit?usp=sharing"",""แผน!HL53"")"),666)</f>
        <v>666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IFERROR(__xludf.DUMMYFUNCTION("IMPORTRANGE(""https://docs.google.com/spreadsheets/d/1QqKyyYR6Q21VydFLVH3TRQUabQu_ym0Zz7PgGX0-kHA/edit?usp=sharing"",""แผน!HK53"")"),26)</f>
        <v>26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380400</v>
      </c>
      <c r="M629" s="195">
        <f t="shared" ca="1" si="263"/>
        <v>380400</v>
      </c>
      <c r="N629" s="195">
        <f t="shared" si="263"/>
        <v>180719</v>
      </c>
      <c r="O629" s="195">
        <f t="shared" ref="O629:O634" ca="1" si="264">IF(L629&gt;0,N629*100/L629,0)</f>
        <v>47.507623554153525</v>
      </c>
      <c r="P629" s="195">
        <f t="shared" ref="P629:P634" ca="1" si="265">IF(M629&gt;0,N629*100/M629,0)</f>
        <v>47.507623554153525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380400</v>
      </c>
      <c r="M631" s="93">
        <f t="shared" ca="1" si="266"/>
        <v>380400</v>
      </c>
      <c r="N631" s="93">
        <f t="shared" si="266"/>
        <v>180719</v>
      </c>
      <c r="O631" s="93">
        <f t="shared" ca="1" si="264"/>
        <v>47.507623554153525</v>
      </c>
      <c r="P631" s="93">
        <f t="shared" ca="1" si="265"/>
        <v>47.507623554153525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380400</v>
      </c>
      <c r="M632" s="497">
        <f t="shared" ca="1" si="267"/>
        <v>380400</v>
      </c>
      <c r="N632" s="497">
        <f t="shared" si="267"/>
        <v>180719</v>
      </c>
      <c r="O632" s="497">
        <f t="shared" ca="1" si="264"/>
        <v>47.507623554153525</v>
      </c>
      <c r="P632" s="497">
        <f t="shared" ca="1" si="265"/>
        <v>47.507623554153525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IFERROR(__xludf.DUMMYFUNCTION("IMPORTRANGE(""https://docs.google.com/spreadsheets/d/1QqKyyYR6Q21VydFLVH3TRQUabQu_ym0Zz7PgGX0-kHA/edit?usp=sharing"",""แผน!HN53"")"),380400)</f>
        <v>380400</v>
      </c>
      <c r="M634" s="93">
        <f ca="1">L634</f>
        <v>380400</v>
      </c>
      <c r="N634" s="93">
        <f>N635+N636+N637+N638</f>
        <v>180719</v>
      </c>
      <c r="O634" s="93">
        <f t="shared" ca="1" si="264"/>
        <v>47.507623554153525</v>
      </c>
      <c r="P634" s="93">
        <f t="shared" ca="1" si="265"/>
        <v>47.507623554153525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103134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77585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IFERROR(__xludf.DUMMYFUNCTION("IMPORTRANGE(""https://docs.google.com/spreadsheets/d/1QqKyyYR6Q21VydFLVH3TRQUabQu_ym0Zz7PgGX0-kHA/edit?usp=sharing"",""แผน!HR53"")"),2)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IFERROR(__xludf.DUMMYFUNCTION("IMPORTRANGE(""https://docs.google.com/spreadsheets/d/1QqKyyYR6Q21VydFLVH3TRQUabQu_ym0Zz7PgGX0-kHA/edit?usp=sharing"",""แผน!HR53"")"),2)</f>
        <v>2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IFERROR(__xludf.DUMMYFUNCTION("IMPORTRANGE(""https://docs.google.com/spreadsheets/d/1XWAQStnk-4SwqDmLtmXYiTMKHgktTP8We1SCoS47DrQ/edit?usp=sharing"",""จัดที่ดิน!AS53"")"),77)</f>
        <v>77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IFERROR(__xludf.DUMMYFUNCTION("IMPORTRANGE(""https://docs.google.com/spreadsheets/d/1XWAQStnk-4SwqDmLtmXYiTMKHgktTP8We1SCoS47DrQ/edit?usp=sharing"",""จัดที่ดิน!AT53"")"),56.28)</f>
        <v>56.28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IFERROR(__xludf.DUMMYFUNCTION("IMPORTRANGE(""https://docs.google.com/spreadsheets/d/1QqKyyYR6Q21VydFLVH3TRQUabQu_ym0Zz7PgGX0-kHA/edit?usp=sharing"",""แผน!HS53"")"),70)</f>
        <v>70</v>
      </c>
      <c r="J647" s="270">
        <f ca="1">IFERROR(__xludf.DUMMYFUNCTION("IMPORTRANGE(""https://docs.google.com/spreadsheets/d/1XWAQStnk-4SwqDmLtmXYiTMKHgktTP8We1SCoS47DrQ/edit?usp=sharing"",""จัดที่ดิน!AU53"")"),0)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IFERROR(__xludf.DUMMYFUNCTION("IMPORTRANGE(""https://docs.google.com/spreadsheets/d/1QqKyyYR6Q21VydFLVH3TRQUabQu_ym0Zz7PgGX0-kHA/edit?usp=sharing"",""แผน!HS53"")"),70)</f>
        <v>70</v>
      </c>
      <c r="J649" s="270">
        <f ca="1">IFERROR(__xludf.DUMMYFUNCTION("IMPORTRANGE(""https://docs.google.com/spreadsheets/d/1XWAQStnk-4SwqDmLtmXYiTMKHgktTP8We1SCoS47DrQ/edit?usp=sharing"",""จัดที่ดิน!AW53"")"),0)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IFERROR(__xludf.DUMMYFUNCTION("IMPORTRANGE(""https://docs.google.com/spreadsheets/d/1QqKyyYR6Q21VydFLVH3TRQUabQu_ym0Zz7PgGX0-kHA/edit?usp=sharing"",""แผน!HS53"")"),70)</f>
        <v>70</v>
      </c>
      <c r="J651" s="270">
        <f ca="1">IFERROR(__xludf.DUMMYFUNCTION("IMPORTRANGE(""https://docs.google.com/spreadsheets/d/1XWAQStnk-4SwqDmLtmXYiTMKHgktTP8We1SCoS47DrQ/edit?usp=sharing"",""จัดที่ดิน!AY53"")"),0)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IFERROR(__xludf.DUMMYFUNCTION("IMPORTRANGE(""https://docs.google.com/spreadsheets/d/1XWAQStnk-4SwqDmLtmXYiTMKHgktTP8We1SCoS47DrQ/edit?usp=sharing"",""จัดที่ดิน!AZ53"")"),0)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200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20000</v>
      </c>
      <c r="M655" s="195">
        <f t="shared" ca="1" si="273"/>
        <v>20000</v>
      </c>
      <c r="N655" s="195">
        <f t="shared" si="273"/>
        <v>4135</v>
      </c>
      <c r="O655" s="195">
        <f t="shared" ref="O655:O660" ca="1" si="274">IF(L655&gt;0,N655*100/L655,0)</f>
        <v>20.675000000000001</v>
      </c>
      <c r="P655" s="195">
        <f t="shared" ref="P655:P660" ca="1" si="275">IF(M655&gt;0,N655*100/M655,0)</f>
        <v>20.675000000000001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20000</v>
      </c>
      <c r="M657" s="93">
        <f t="shared" ca="1" si="276"/>
        <v>20000</v>
      </c>
      <c r="N657" s="93">
        <f t="shared" si="276"/>
        <v>4135</v>
      </c>
      <c r="O657" s="93">
        <f t="shared" ca="1" si="274"/>
        <v>20.675000000000001</v>
      </c>
      <c r="P657" s="93">
        <f t="shared" ca="1" si="275"/>
        <v>20.675000000000001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20000</v>
      </c>
      <c r="M658" s="497">
        <f t="shared" ca="1" si="277"/>
        <v>20000</v>
      </c>
      <c r="N658" s="497">
        <f t="shared" si="277"/>
        <v>4135</v>
      </c>
      <c r="O658" s="497">
        <f t="shared" ca="1" si="274"/>
        <v>20.675000000000001</v>
      </c>
      <c r="P658" s="497">
        <f t="shared" ca="1" si="275"/>
        <v>20.675000000000001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IFERROR(__xludf.DUMMYFUNCTION("IMPORTRANGE(""https://docs.google.com/spreadsheets/d/1QqKyyYR6Q21VydFLVH3TRQUabQu_ym0Zz7PgGX0-kHA/edit?usp=sharing"",""แผน!HV53"")"),20000)</f>
        <v>20000</v>
      </c>
      <c r="M660" s="93">
        <f ca="1">L660</f>
        <v>20000</v>
      </c>
      <c r="N660" s="93">
        <f>N661+N662+N663+N664</f>
        <v>4135</v>
      </c>
      <c r="O660" s="93">
        <f t="shared" ca="1" si="274"/>
        <v>20.675000000000001</v>
      </c>
      <c r="P660" s="93">
        <f t="shared" ca="1" si="275"/>
        <v>20.675000000000001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4135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IFERROR(__xludf.DUMMYFUNCTION("IMPORTRANGE(""https://docs.google.com/spreadsheets/d/1QqKyyYR6Q21VydFLVH3TRQUabQu_ym0Zz7PgGX0-kHA/edit?usp=sharing"",""แผน!IA53"")"),200)</f>
        <v>200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IFERROR(__xludf.DUMMYFUNCTION("IMPORTRANGE(""https://docs.google.com/spreadsheets/d/1QqKyyYR6Q21VydFLVH3TRQUabQu_ym0Zz7PgGX0-kHA/edit?usp=sharing"",""แผน!HZ53"")"),5)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IFERROR(__xludf.DUMMYFUNCTION("IMPORTRANGE(""https://docs.google.com/spreadsheets/d/1QqKyyYR6Q21VydFLVH3TRQUabQu_ym0Zz7PgGX0-kHA/edit?usp=sharing"",""แผน!HZ53"")"),5)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6600</v>
      </c>
      <c r="M685" s="195">
        <f t="shared" ca="1" si="282"/>
        <v>6600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6600</v>
      </c>
      <c r="M687" s="93">
        <f t="shared" ca="1" si="285"/>
        <v>6600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6600</v>
      </c>
      <c r="M688" s="497">
        <f t="shared" ca="1" si="286"/>
        <v>6600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IFERROR(__xludf.DUMMYFUNCTION("IMPORTRANGE(""https://docs.google.com/spreadsheets/d/1QqKyyYR6Q21VydFLVH3TRQUabQu_ym0Zz7PgGX0-kHA/edit?usp=sharing"",""แผน!HW53"")"),6600)</f>
        <v>6600</v>
      </c>
      <c r="M690" s="93">
        <f ca="1">L690</f>
        <v>6600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IFERROR(__xludf.DUMMYFUNCTION("IMPORTRANGE(""https://docs.google.com/spreadsheets/d/1QqKyyYR6Q21VydFLVH3TRQUabQu_ym0Zz7PgGX0-kHA/edit?usp=sharing"",""แผน!IC53"")"),0)</f>
        <v>0</v>
      </c>
      <c r="J699" s="270">
        <f ca="1">IFERROR(__xludf.DUMMYFUNCTION("IMPORTRANGE(""https://docs.google.com/spreadsheets/d/1XWAQStnk-4SwqDmLtmXYiTMKHgktTP8We1SCoS47DrQ/edit?usp=sharing"",""จัดที่ดิน!BB53"")"),0)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IFERROR(__xludf.DUMMYFUNCTION("IMPORTRANGE(""https://docs.google.com/spreadsheets/d/1QqKyyYR6Q21VydFLVH3TRQUabQu_ym0Zz7PgGX0-kHA/edit?usp=sharing"",""แผน!ID53"")"),0)</f>
        <v>0</v>
      </c>
      <c r="J700" s="270">
        <f ca="1">IFERROR(__xludf.DUMMYFUNCTION("IMPORTRANGE(""https://docs.google.com/spreadsheets/d/1XWAQStnk-4SwqDmLtmXYiTMKHgktTP8We1SCoS47DrQ/edit?usp=sharing"",""จัดที่ดิน!BD53"")"),0)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IFERROR(__xludf.DUMMYFUNCTION("IMPORTRANGE(""https://docs.google.com/spreadsheets/d/1QqKyyYR6Q21VydFLVH3TRQUabQu_ym0Zz7PgGX0-kHA/edit?usp=sharing"",""แผน!IE53"")"),0)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IFERROR(__xludf.DUMMYFUNCTION("IMPORTRANGE(""https://docs.google.com/spreadsheets/d/1QqKyyYR6Q21VydFLVH3TRQUabQu_ym0Zz7PgGX0-kHA/edit?usp=sharing"",""แผน!IF53"")"),0)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IFERROR(__xludf.DUMMYFUNCTION("IMPORTRANGE(""https://docs.google.com/spreadsheets/d/1QqKyyYR6Q21VydFLVH3TRQUabQu_ym0Zz7PgGX0-kHA/edit?usp=sharing"",""แผน!IH53"")"),0)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IFERROR(__xludf.DUMMYFUNCTION("IMPORTRANGE(""https://docs.google.com/spreadsheets/d/1QqKyyYR6Q21VydFLVH3TRQUabQu_ym0Zz7PgGX0-kHA/edit?usp=sharing"",""แผน!II53"")"),0)</f>
        <v>0</v>
      </c>
      <c r="J720" s="270">
        <f ca="1">IFERROR(__xludf.DUMMYFUNCTION("IMPORTRANGE(""https://docs.google.com/spreadsheets/d/1XWAQStnk-4SwqDmLtmXYiTMKHgktTP8We1SCoS47DrQ/edit?usp=sharing"",""จัดที่ดิน!BH53"")"),0)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IFERROR(__xludf.DUMMYFUNCTION("IMPORTRANGE(""https://docs.google.com/spreadsheets/d/1QqKyyYR6Q21VydFLVH3TRQUabQu_ym0Zz7PgGX0-kHA/edit?usp=sharing"",""แผน!IJ53"")"),5)</f>
        <v>5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IFERROR(__xludf.DUMMYFUNCTION("IMPORTRANGE(""https://docs.google.com/spreadsheets/d/1QqKyyYR6Q21VydFLVH3TRQUabQu_ym0Zz7PgGX0-kHA/edit?usp=sharing"",""แผน!IK53"")"),50)</f>
        <v>50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IFERROR(__xludf.DUMMYFUNCTION("IMPORTRANGE(""https://docs.google.com/spreadsheets/d/1QqKyyYR6Q21VydFLVH3TRQUabQu_ym0Zz7PgGX0-kHA/edit?usp=sharing"",""แผน!IL53"")"),5)</f>
        <v>5</v>
      </c>
      <c r="J723" s="270">
        <f ca="1">IFERROR(__xludf.DUMMYFUNCTION("IMPORTRANGE(""https://docs.google.com/spreadsheets/d/1XWAQStnk-4SwqDmLtmXYiTMKHgktTP8We1SCoS47DrQ/edit?usp=sharing"",""จัดที่ดิน!BM53"")"),0)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IFERROR(__xludf.DUMMYFUNCTION("IMPORTRANGE(""https://docs.google.com/spreadsheets/d/1QqKyyYR6Q21VydFLVH3TRQUabQu_ym0Zz7PgGX0-kHA/edit?usp=sharing"",""แผน!IM53"")"),50)</f>
        <v>50</v>
      </c>
      <c r="J725" s="270">
        <f ca="1">IFERROR(__xludf.DUMMYFUNCTION("IMPORTRANGE(""https://docs.google.com/spreadsheets/d/1XWAQStnk-4SwqDmLtmXYiTMKHgktTP8We1SCoS47DrQ/edit?usp=sharing"",""จัดที่ดิน!BO53"")"),0)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IFERROR(__xludf.DUMMYFUNCTION("IMPORTRANGE(""https://docs.google.com/spreadsheets/d/1QqKyyYR6Q21VydFLVH3TRQUabQu_ym0Zz7PgGX0-kHA/edit?usp=sharing"",""แผน!IN53"")"),0)</f>
        <v>0</v>
      </c>
      <c r="J726" s="270">
        <f ca="1">IFERROR(__xludf.DUMMYFUNCTION("IMPORTRANGE(""https://docs.google.com/spreadsheets/d/1XWAQStnk-4SwqDmLtmXYiTMKHgktTP8We1SCoS47DrQ/edit?usp=sharing"",""จัดที่ดิน!BR53"")"),0)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IFERROR(__xludf.DUMMYFUNCTION("IMPORTRANGE(""https://docs.google.com/spreadsheets/d/1QqKyyYR6Q21VydFLVH3TRQUabQu_ym0Zz7PgGX0-kHA/edit?usp=sharing"",""แผน!IO53"")"),0)</f>
        <v>0</v>
      </c>
      <c r="J728" s="270">
        <f ca="1">IFERROR(__xludf.DUMMYFUNCTION("IMPORTRANGE(""https://docs.google.com/spreadsheets/d/1XWAQStnk-4SwqDmLtmXYiTMKHgktTP8We1SCoS47DrQ/edit?usp=sharing"",""จัดที่ดิน!BT53"")"),0)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IFERROR(__xludf.DUMMYFUNCTION("IMPORTRANGE(""https://docs.google.com/spreadsheets/d/1QqKyyYR6Q21VydFLVH3TRQUabQu_ym0Zz7PgGX0-kHA/edit?usp=sharing"",""แผน!IP53"")"),50)</f>
        <v>50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IFERROR(__xludf.DUMMYFUNCTION("IMPORTRANGE(""https://docs.google.com/spreadsheets/d/1QqKyyYR6Q21VydFLVH3TRQUabQu_ym0Zz7PgGX0-kHA/edit?usp=sharing"",""แผน!JN53"")"),0)</f>
        <v>0</v>
      </c>
      <c r="J800" s="184">
        <f ca="1">IFERROR(__xludf.DUMMYFUNCTION("IMPORTRANGE(""https://docs.google.com/spreadsheets/d/1MaWodYyGHDf7siQLGxnXhG4mBNTNIuy296niS2xXulU/edit?usp=sharing"",""RTK!H53"")"),0)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9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70">
        <f ca="1">IFERROR(__xludf.DUMMYFUNCTION("IMPORTRANGE(""https://docs.google.com/spreadsheets/d/19vJNZY_5yjcGF2XGBMNZRCAIB0Kwfpjp8YEOfu-bneM/edit?usp=sharing"",""งานกองทุน!F53"")"),1352537.22)</f>
        <v>1352537.22</v>
      </c>
      <c r="K821" s="497">
        <f t="shared" ref="K821:K828" ca="1" si="335">IF(I821&gt;0,J821*100/I821,0)</f>
        <v>64.326899728080917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IFERROR(__xludf.DUMMYFUNCTION("IMPORTRANGE(""https://docs.google.com/spreadsheets/d/19vJNZY_5yjcGF2XGBMNZRCAIB0Kwfpjp8YEOfu-bneM/edit?usp=sharing"",""งานกองทุน!C53"")"),71)</f>
        <v>71</v>
      </c>
      <c r="J822" s="270">
        <f ca="1">IFERROR(__xludf.DUMMYFUNCTION("IMPORTRANGE(""https://docs.google.com/spreadsheets/d/19vJNZY_5yjcGF2XGBMNZRCAIB0Kwfpjp8YEOfu-bneM/edit?usp=sharing"",""งานกองทุน!E53"")"),46)</f>
        <v>46</v>
      </c>
      <c r="K822" s="497">
        <f t="shared" ca="1" si="335"/>
        <v>64.788732394366193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70">
        <f ca="1">IFERROR(__xludf.DUMMYFUNCTION("IMPORTRANGE(""https://docs.google.com/spreadsheets/d/19vJNZY_5yjcGF2XGBMNZRCAIB0Kwfpjp8YEOfu-bneM/edit?usp=sharing"",""งานกองทุน!K53"")"),653784.28)</f>
        <v>653784.28</v>
      </c>
      <c r="K823" s="497">
        <f t="shared" ca="1" si="335"/>
        <v>3.3456791196027029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IFERROR(__xludf.DUMMYFUNCTION("IMPORTRANGE(""https://docs.google.com/spreadsheets/d/19vJNZY_5yjcGF2XGBMNZRCAIB0Kwfpjp8YEOfu-bneM/edit?usp=sharing"",""งานกองทุน!H53"")"),669)</f>
        <v>669</v>
      </c>
      <c r="J824" s="270">
        <f ca="1">IFERROR(__xludf.DUMMYFUNCTION("IMPORTRANGE(""https://docs.google.com/spreadsheets/d/19vJNZY_5yjcGF2XGBMNZRCAIB0Kwfpjp8YEOfu-bneM/edit?usp=sharing"",""งานกองทุน!J53"")"),80)</f>
        <v>80</v>
      </c>
      <c r="K824" s="497">
        <f t="shared" ca="1" si="335"/>
        <v>11.958146487294469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270">
        <f ca="1">IFERROR(__xludf.DUMMYFUNCTION("IMPORTRANGE(""https://docs.google.com/spreadsheets/d/19vJNZY_5yjcGF2XGBMNZRCAIB0Kwfpjp8YEOfu-bneM/edit?usp=sharing"",""งานกองทุน!P53"")"),170083.14)</f>
        <v>170083.14</v>
      </c>
      <c r="K825" s="497">
        <f t="shared" ca="1" si="335"/>
        <v>24.445721324611686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IFERROR(__xludf.DUMMYFUNCTION("IMPORTRANGE(""https://docs.google.com/spreadsheets/d/19vJNZY_5yjcGF2XGBMNZRCAIB0Kwfpjp8YEOfu-bneM/edit?usp=sharing"",""งานกองทุน!M53"")"),214)</f>
        <v>214</v>
      </c>
      <c r="J826" s="270">
        <f ca="1">IFERROR(__xludf.DUMMYFUNCTION("IMPORTRANGE(""https://docs.google.com/spreadsheets/d/19vJNZY_5yjcGF2XGBMNZRCAIB0Kwfpjp8YEOfu-bneM/edit?usp=sharing"",""งานกองทุน!O53"")"),59)</f>
        <v>59</v>
      </c>
      <c r="K826" s="497">
        <f t="shared" ca="1" si="335"/>
        <v>27.570093457943926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IFERROR(__xludf.DUMMYFUNCTION("IMPORTRANGE(""https://docs.google.com/spreadsheets/d/19vJNZY_5yjcGF2XGBMNZRCAIB0Kwfpjp8YEOfu-bneM/edit?usp=sharing"",""งานกองทุน!S53"")"),4050000)</f>
        <v>4050000</v>
      </c>
      <c r="J827" s="270">
        <f ca="1">IFERROR(__xludf.DUMMYFUNCTION("IMPORTRANGE(""https://docs.google.com/spreadsheets/d/19vJNZY_5yjcGF2XGBMNZRCAIB0Kwfpjp8YEOfu-bneM/edit?usp=sharing"",""งานกองทุน!U53"")"),2100000)</f>
        <v>2100000</v>
      </c>
      <c r="K827" s="497">
        <f t="shared" ca="1" si="335"/>
        <v>51.851851851851855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IFERROR(__xludf.DUMMYFUNCTION("IMPORTRANGE(""https://docs.google.com/spreadsheets/d/19vJNZY_5yjcGF2XGBMNZRCAIB0Kwfpjp8YEOfu-bneM/edit?usp=sharing"",""งานกองทุน!R53"")"),162)</f>
        <v>162</v>
      </c>
      <c r="J828" s="501">
        <f ca="1">IFERROR(__xludf.DUMMYFUNCTION("IMPORTRANGE(""https://docs.google.com/spreadsheets/d/19vJNZY_5yjcGF2XGBMNZRCAIB0Kwfpjp8YEOfu-bneM/edit?usp=sharing"",""งานกองทุน!T53"")"),42)</f>
        <v>42</v>
      </c>
      <c r="K828" s="502">
        <f t="shared" ca="1" si="335"/>
        <v>25.925925925925927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BF2D-29CD-4CA7-BBE5-3D639D2DAEFD}">
  <sheetPr codeName="Sheet3"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3444569</v>
      </c>
      <c r="M8" s="22">
        <f t="shared" ca="1" si="0"/>
        <v>4153041</v>
      </c>
      <c r="N8" s="22">
        <f t="shared" ca="1" si="0"/>
        <v>3347884.31</v>
      </c>
      <c r="O8" s="22">
        <f t="shared" ref="O8:O16" ca="1" si="1">IF(L8&gt;0,N8*100/L8,0)</f>
        <v>97.19312662919512</v>
      </c>
      <c r="P8" s="22">
        <f t="shared" ref="P8:P16" ca="1" si="2">IF(M8&gt;0,N8*100/M8,0)</f>
        <v>80.612840325920217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3444569</v>
      </c>
      <c r="M10" s="30">
        <f t="shared" ca="1" si="3"/>
        <v>4153041</v>
      </c>
      <c r="N10" s="30">
        <f t="shared" ca="1" si="3"/>
        <v>3347884.31</v>
      </c>
      <c r="O10" s="30">
        <f t="shared" ca="1" si="1"/>
        <v>97.19312662919512</v>
      </c>
      <c r="P10" s="30">
        <f t="shared" ca="1" si="2"/>
        <v>80.612840325920217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3280369</v>
      </c>
      <c r="M11" s="497">
        <f t="shared" ca="1" si="4"/>
        <v>3403641</v>
      </c>
      <c r="N11" s="497">
        <f t="shared" ca="1" si="4"/>
        <v>2598484.31</v>
      </c>
      <c r="O11" s="497">
        <f t="shared" ca="1" si="1"/>
        <v>79.213171140197943</v>
      </c>
      <c r="P11" s="497">
        <f t="shared" ca="1" si="2"/>
        <v>76.34425340392832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3280369</v>
      </c>
      <c r="M13" s="93">
        <f t="shared" ca="1" si="5"/>
        <v>3403641</v>
      </c>
      <c r="N13" s="93">
        <f t="shared" ca="1" si="5"/>
        <v>2598484.31</v>
      </c>
      <c r="O13" s="93">
        <f t="shared" ca="1" si="1"/>
        <v>79.213171140197943</v>
      </c>
      <c r="P13" s="93">
        <f t="shared" ca="1" si="2"/>
        <v>76.34425340392832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164200</v>
      </c>
      <c r="M14" s="497">
        <f t="shared" ca="1" si="6"/>
        <v>749400</v>
      </c>
      <c r="N14" s="497">
        <f t="shared" ca="1" si="6"/>
        <v>749400</v>
      </c>
      <c r="O14" s="497">
        <f t="shared" ca="1" si="1"/>
        <v>456.39464068209503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164200</v>
      </c>
      <c r="M16" s="52">
        <f t="shared" ca="1" si="7"/>
        <v>749400</v>
      </c>
      <c r="N16" s="52">
        <f t="shared" ca="1" si="7"/>
        <v>749400</v>
      </c>
      <c r="O16" s="52">
        <f t="shared" ca="1" si="1"/>
        <v>456.39464068209503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2634736</v>
      </c>
      <c r="M18" s="22">
        <f t="shared" ca="1" si="8"/>
        <v>3343208</v>
      </c>
      <c r="N18" s="22">
        <f t="shared" ca="1" si="8"/>
        <v>2725778.31</v>
      </c>
      <c r="O18" s="22">
        <f t="shared" ref="O18:O26" ca="1" si="9">IF(L18&gt;0,N18*100/L18,0)</f>
        <v>103.45546233095081</v>
      </c>
      <c r="P18" s="22">
        <f t="shared" ref="P18:P26" ca="1" si="10">IF(M18&gt;0,N18*100/M18,0)</f>
        <v>81.531819438096576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2634736</v>
      </c>
      <c r="M20" s="30">
        <f t="shared" ca="1" si="11"/>
        <v>3343208</v>
      </c>
      <c r="N20" s="30">
        <f t="shared" ca="1" si="11"/>
        <v>2725778.31</v>
      </c>
      <c r="O20" s="30">
        <f t="shared" ca="1" si="9"/>
        <v>103.45546233095081</v>
      </c>
      <c r="P20" s="30">
        <f t="shared" ca="1" si="10"/>
        <v>81.531819438096576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2470536</v>
      </c>
      <c r="M21" s="497">
        <f t="shared" ca="1" si="12"/>
        <v>2593808</v>
      </c>
      <c r="N21" s="497">
        <f t="shared" ca="1" si="12"/>
        <v>1976378.31</v>
      </c>
      <c r="O21" s="497">
        <f t="shared" ca="1" si="9"/>
        <v>79.9979563139335</v>
      </c>
      <c r="P21" s="497">
        <f t="shared" ca="1" si="10"/>
        <v>76.196014122864909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2470536</v>
      </c>
      <c r="M23" s="93">
        <f t="shared" ca="1" si="13"/>
        <v>2593808</v>
      </c>
      <c r="N23" s="93">
        <f t="shared" ca="1" si="13"/>
        <v>1976378.31</v>
      </c>
      <c r="O23" s="93">
        <f t="shared" ca="1" si="9"/>
        <v>79.9979563139335</v>
      </c>
      <c r="P23" s="93">
        <f t="shared" ca="1" si="10"/>
        <v>76.196014122864909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164200</v>
      </c>
      <c r="M24" s="497">
        <f t="shared" ca="1" si="14"/>
        <v>749400</v>
      </c>
      <c r="N24" s="497">
        <f t="shared" ca="1" si="14"/>
        <v>749400</v>
      </c>
      <c r="O24" s="497">
        <f t="shared" ca="1" si="9"/>
        <v>456.39464068209503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164200</v>
      </c>
      <c r="M26" s="52">
        <f t="shared" ca="1" si="15"/>
        <v>749400</v>
      </c>
      <c r="N26" s="52">
        <f t="shared" ca="1" si="15"/>
        <v>749400</v>
      </c>
      <c r="O26" s="52">
        <f t="shared" ca="1" si="9"/>
        <v>456.39464068209503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809833</v>
      </c>
      <c r="M28" s="22">
        <f t="shared" ca="1" si="16"/>
        <v>809833</v>
      </c>
      <c r="N28" s="22">
        <f t="shared" si="16"/>
        <v>622106</v>
      </c>
      <c r="O28" s="22">
        <f t="shared" ref="O28:O37" ca="1" si="17">IF(L28&gt;0,N28*100/L28,0)</f>
        <v>76.819047877772334</v>
      </c>
      <c r="P28" s="22">
        <f t="shared" ref="P28:P37" ca="1" si="18">IF(M28&gt;0,N28*100/M28,0)</f>
        <v>76.819047877772334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809833</v>
      </c>
      <c r="M30" s="30">
        <f t="shared" ca="1" si="19"/>
        <v>809833</v>
      </c>
      <c r="N30" s="30">
        <f t="shared" si="19"/>
        <v>622106</v>
      </c>
      <c r="O30" s="30">
        <f t="shared" ca="1" si="17"/>
        <v>76.819047877772334</v>
      </c>
      <c r="P30" s="30">
        <f t="shared" ca="1" si="18"/>
        <v>76.819047877772334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809833</v>
      </c>
      <c r="M31" s="497">
        <f t="shared" ca="1" si="20"/>
        <v>809833</v>
      </c>
      <c r="N31" s="497">
        <f t="shared" si="20"/>
        <v>622106</v>
      </c>
      <c r="O31" s="497">
        <f t="shared" ca="1" si="17"/>
        <v>76.819047877772334</v>
      </c>
      <c r="P31" s="497">
        <f t="shared" ca="1" si="18"/>
        <v>76.819047877772334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809833</v>
      </c>
      <c r="M33" s="93">
        <f t="shared" ca="1" si="21"/>
        <v>809833</v>
      </c>
      <c r="N33" s="93">
        <f t="shared" si="21"/>
        <v>622106</v>
      </c>
      <c r="O33" s="93">
        <f t="shared" ca="1" si="17"/>
        <v>76.819047877772334</v>
      </c>
      <c r="P33" s="93">
        <f t="shared" ca="1" si="18"/>
        <v>76.819047877772334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2634736</v>
      </c>
      <c r="M37" s="59">
        <f t="shared" ca="1" si="24"/>
        <v>3343208</v>
      </c>
      <c r="N37" s="59">
        <f t="shared" ca="1" si="24"/>
        <v>2725778.31</v>
      </c>
      <c r="O37" s="59">
        <f t="shared" ca="1" si="17"/>
        <v>103.45546233095081</v>
      </c>
      <c r="P37" s="59">
        <f t="shared" ca="1" si="18"/>
        <v>81.531819438096576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299096</v>
      </c>
      <c r="M41" s="85">
        <f t="shared" ca="1" si="25"/>
        <v>311728</v>
      </c>
      <c r="N41" s="85">
        <f t="shared" ca="1" si="25"/>
        <v>306550</v>
      </c>
      <c r="O41" s="85">
        <f t="shared" ref="O41:O49" ca="1" si="26">IF(L41&gt;0,N41*100/L41,0)</f>
        <v>102.49217642496055</v>
      </c>
      <c r="P41" s="85">
        <f t="shared" ref="P41:P49" ca="1" si="27">IF(M41&gt;0,N41*100/M41,0)</f>
        <v>98.338936508751218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299096</v>
      </c>
      <c r="M43" s="92">
        <f t="shared" ca="1" si="28"/>
        <v>311728</v>
      </c>
      <c r="N43" s="92">
        <f t="shared" ca="1" si="28"/>
        <v>306550</v>
      </c>
      <c r="O43" s="92">
        <f t="shared" ca="1" si="26"/>
        <v>102.49217642496055</v>
      </c>
      <c r="P43" s="92">
        <f t="shared" ca="1" si="27"/>
        <v>98.338936508751218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299096</v>
      </c>
      <c r="M44" s="497">
        <f t="shared" ca="1" si="29"/>
        <v>311728</v>
      </c>
      <c r="N44" s="497">
        <f t="shared" ca="1" si="29"/>
        <v>306550</v>
      </c>
      <c r="O44" s="497">
        <f t="shared" ca="1" si="26"/>
        <v>102.49217642496055</v>
      </c>
      <c r="P44" s="497">
        <f t="shared" ca="1" si="27"/>
        <v>98.338936508751218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IFERROR(__xludf.DUMMYFUNCTION("IMPORTRANGE(""https://docs.google.com/spreadsheets/d/1MeEWN-I1oV_STSDYn1IFDPWt_1FKiwhDph83XaGc0o0/edit?usp=sharing"",""งบพรบ!M54"")"),299096)</f>
        <v>299096</v>
      </c>
      <c r="M46" s="93">
        <f ca="1">IFERROR(__xludf.DUMMYFUNCTION("IMPORTRANGE(""https://docs.google.com/spreadsheets/d/1MeEWN-I1oV_STSDYn1IFDPWt_1FKiwhDph83XaGc0o0/edit?usp=sharing"",""งบพรบ!R54"")"),311728)</f>
        <v>311728</v>
      </c>
      <c r="N46" s="93">
        <f ca="1">IFERROR(__xludf.DUMMYFUNCTION("IMPORTRANGE(""https://docs.google.com/spreadsheets/d/1MeEWN-I1oV_STSDYn1IFDPWt_1FKiwhDph83XaGc0o0/edit?usp=sharing"",""งบพรบ!T54"")"),306550)</f>
        <v>306550</v>
      </c>
      <c r="O46" s="93">
        <f t="shared" ca="1" si="26"/>
        <v>102.49217642496055</v>
      </c>
      <c r="P46" s="93">
        <f t="shared" ca="1" si="27"/>
        <v>98.338936508751218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IFERROR(__xludf.DUMMYFUNCTION("IMPORTRANGE(""https://docs.google.com/spreadsheets/d/1MeEWN-I1oV_STSDYn1IFDPWt_1FKiwhDph83XaGc0o0/edit?usp=sharing"",""งบพรบ!P54"")"),0)</f>
        <v>0</v>
      </c>
      <c r="M49" s="52">
        <f ca="1">IFERROR(__xludf.DUMMYFUNCTION("IMPORTRANGE(""https://docs.google.com/spreadsheets/d/1MeEWN-I1oV_STSDYn1IFDPWt_1FKiwhDph83XaGc0o0/edit?usp=sharing"",""งบพรบ!S54"")"),0)</f>
        <v>0</v>
      </c>
      <c r="N49" s="52">
        <f ca="1">IFERROR(__xludf.DUMMYFUNCTION("IMPORTRANGE(""https://docs.google.com/spreadsheets/d/1MeEWN-I1oV_STSDYn1IFDPWt_1FKiwhDph83XaGc0o0/edit?usp=sharing"",""งบพรบ!U54"")"),0)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617200</v>
      </c>
      <c r="M53" s="116">
        <f t="shared" ca="1" si="31"/>
        <v>1289400</v>
      </c>
      <c r="N53" s="116">
        <f t="shared" ca="1" si="31"/>
        <v>1120785.31</v>
      </c>
      <c r="O53" s="116">
        <f t="shared" ref="O53:O61" ca="1" si="32">IF(L53&gt;0,N53*100/L53,0)</f>
        <v>181.59191672067402</v>
      </c>
      <c r="P53" s="116">
        <f t="shared" ref="P53:P61" ca="1" si="33">IF(M53&gt;0,N53*100/M53,0)</f>
        <v>86.923011478206917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617200</v>
      </c>
      <c r="M55" s="123">
        <f t="shared" ca="1" si="34"/>
        <v>1289400</v>
      </c>
      <c r="N55" s="123">
        <f t="shared" ca="1" si="34"/>
        <v>1120785.31</v>
      </c>
      <c r="O55" s="123">
        <f t="shared" ca="1" si="32"/>
        <v>181.59191672067402</v>
      </c>
      <c r="P55" s="123">
        <f t="shared" ca="1" si="33"/>
        <v>86.923011478206917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617200</v>
      </c>
      <c r="M56" s="497">
        <f t="shared" ca="1" si="35"/>
        <v>704200</v>
      </c>
      <c r="N56" s="497">
        <f t="shared" ca="1" si="35"/>
        <v>535585.31000000006</v>
      </c>
      <c r="O56" s="497">
        <f t="shared" ca="1" si="32"/>
        <v>86.776621840570328</v>
      </c>
      <c r="P56" s="497">
        <f t="shared" ca="1" si="33"/>
        <v>76.055852030673108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IFERROR(__xludf.DUMMYFUNCTION("IMPORTRANGE(""https://docs.google.com/spreadsheets/d/1MeEWN-I1oV_STSDYn1IFDPWt_1FKiwhDph83XaGc0o0/edit?usp=sharing"",""งบพรบ!W54"")"),617200)</f>
        <v>617200</v>
      </c>
      <c r="M58" s="93">
        <f ca="1">IFERROR(__xludf.DUMMYFUNCTION("IMPORTRANGE(""https://docs.google.com/spreadsheets/d/1MeEWN-I1oV_STSDYn1IFDPWt_1FKiwhDph83XaGc0o0/edit?usp=sharing"",""งบพรบ!AB54"")"),704200)</f>
        <v>704200</v>
      </c>
      <c r="N58" s="93">
        <f ca="1">IFERROR(__xludf.DUMMYFUNCTION("IMPORTRANGE(""https://docs.google.com/spreadsheets/d/1MeEWN-I1oV_STSDYn1IFDPWt_1FKiwhDph83XaGc0o0/edit?usp=sharing"",""งบพรบ!AD54"")"),535585.31)</f>
        <v>535585.31000000006</v>
      </c>
      <c r="O58" s="93">
        <f t="shared" ca="1" si="32"/>
        <v>86.776621840570328</v>
      </c>
      <c r="P58" s="93">
        <f t="shared" ca="1" si="33"/>
        <v>76.055852030673108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585200</v>
      </c>
      <c r="N59" s="497">
        <f t="shared" ca="1" si="36"/>
        <v>585200</v>
      </c>
      <c r="O59" s="497">
        <f t="shared" ca="1" si="32"/>
        <v>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IFERROR(__xludf.DUMMYFUNCTION("IMPORTRANGE(""https://docs.google.com/spreadsheets/d/1MeEWN-I1oV_STSDYn1IFDPWt_1FKiwhDph83XaGc0o0/edit?usp=sharing"",""งบพรบ!Z54"")"),0)</f>
        <v>0</v>
      </c>
      <c r="M61" s="52">
        <f ca="1">IFERROR(__xludf.DUMMYFUNCTION("IMPORTRANGE(""https://docs.google.com/spreadsheets/d/1MeEWN-I1oV_STSDYn1IFDPWt_1FKiwhDph83XaGc0o0/edit?usp=sharing"",""งบพรบ!AC54"")"),585200)</f>
        <v>585200</v>
      </c>
      <c r="N61" s="52">
        <f ca="1">IFERROR(__xludf.DUMMYFUNCTION("IMPORTRANGE(""https://docs.google.com/spreadsheets/d/1MeEWN-I1oV_STSDYn1IFDPWt_1FKiwhDph83XaGc0o0/edit?usp=sharing"",""งบพรบ!AE54"")"),585200)</f>
        <v>585200</v>
      </c>
      <c r="O61" s="52">
        <f t="shared" ca="1" si="32"/>
        <v>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IFERROR(__xludf.DUMMYFUNCTION("IMPORTRANGE(""https://docs.google.com/spreadsheets/d/1MeEWN-I1oV_STSDYn1IFDPWt_1FKiwhDph83XaGc0o0/edit?usp=sharing"",""งบพรบ!AG54"")"),0)</f>
        <v>0</v>
      </c>
      <c r="M71" s="93">
        <f ca="1">IFERROR(__xludf.DUMMYFUNCTION("IMPORTRANGE(""https://docs.google.com/spreadsheets/d/1MeEWN-I1oV_STSDYn1IFDPWt_1FKiwhDph83XaGc0o0/edit?usp=sharing"",""งบพรบ!AL54"")"),0)</f>
        <v>0</v>
      </c>
      <c r="N71" s="93">
        <f ca="1">IFERROR(__xludf.DUMMYFUNCTION("IMPORTRANGE(""https://docs.google.com/spreadsheets/d/1MeEWN-I1oV_STSDYn1IFDPWt_1FKiwhDph83XaGc0o0/edit?usp=sharing"",""งบพรบ!AN54"")"),0)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IFERROR(__xludf.DUMMYFUNCTION("IMPORTRANGE(""https://docs.google.com/spreadsheets/d/1MeEWN-I1oV_STSDYn1IFDPWt_1FKiwhDph83XaGc0o0/edit?usp=sharing"",""งบพรบ!AJ54"")"),0)</f>
        <v>0</v>
      </c>
      <c r="M74" s="93">
        <f ca="1">IFERROR(__xludf.DUMMYFUNCTION("IMPORTRANGE(""https://docs.google.com/spreadsheets/d/1MeEWN-I1oV_STSDYn1IFDPWt_1FKiwhDph83XaGc0o0/edit?usp=sharing"",""งบพรบ!AM54"")"),0)</f>
        <v>0</v>
      </c>
      <c r="N74" s="93">
        <f ca="1">IFERROR(__xludf.DUMMYFUNCTION("IMPORTRANGE(""https://docs.google.com/spreadsheets/d/1MeEWN-I1oV_STSDYn1IFDPWt_1FKiwhDph83XaGc0o0/edit?usp=sharing"",""งบพรบ!AO54"")"),0)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378840</v>
      </c>
      <c r="M88" s="155">
        <f t="shared" ca="1" si="49"/>
        <v>378840</v>
      </c>
      <c r="N88" s="155">
        <f t="shared" ca="1" si="49"/>
        <v>265040</v>
      </c>
      <c r="O88" s="155">
        <f t="shared" ref="O88:O96" ca="1" si="50">IF(L88&gt;0,N88*100/L88,0)</f>
        <v>69.960933375567521</v>
      </c>
      <c r="P88" s="155">
        <f t="shared" ref="P88:P96" ca="1" si="51">IF(M88&gt;0,N88*100/M88,0)</f>
        <v>69.960933375567521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378840</v>
      </c>
      <c r="M90" s="93">
        <f t="shared" ca="1" si="52"/>
        <v>378840</v>
      </c>
      <c r="N90" s="93">
        <f t="shared" ca="1" si="52"/>
        <v>265040</v>
      </c>
      <c r="O90" s="93">
        <f t="shared" ca="1" si="50"/>
        <v>69.960933375567521</v>
      </c>
      <c r="P90" s="93">
        <f t="shared" ca="1" si="51"/>
        <v>69.960933375567521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378840</v>
      </c>
      <c r="M91" s="497">
        <f t="shared" ca="1" si="53"/>
        <v>378840</v>
      </c>
      <c r="N91" s="497">
        <f t="shared" ca="1" si="53"/>
        <v>265040</v>
      </c>
      <c r="O91" s="497">
        <f t="shared" ca="1" si="50"/>
        <v>69.960933375567521</v>
      </c>
      <c r="P91" s="497">
        <f t="shared" ca="1" si="51"/>
        <v>69.960933375567521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IFERROR(__xludf.DUMMYFUNCTION("IMPORTRANGE(""https://docs.google.com/spreadsheets/d/1MeEWN-I1oV_STSDYn1IFDPWt_1FKiwhDph83XaGc0o0/edit?usp=sharing"",""งบพรบ!AQ54"")"),378840)</f>
        <v>378840</v>
      </c>
      <c r="M93" s="93">
        <f ca="1">IFERROR(__xludf.DUMMYFUNCTION("IMPORTRANGE(""https://docs.google.com/spreadsheets/d/1MeEWN-I1oV_STSDYn1IFDPWt_1FKiwhDph83XaGc0o0/edit?usp=sharing"",""งบพรบ!AV54"")"),378840)</f>
        <v>378840</v>
      </c>
      <c r="N93" s="93">
        <f ca="1">IFERROR(__xludf.DUMMYFUNCTION("IMPORTRANGE(""https://docs.google.com/spreadsheets/d/1MeEWN-I1oV_STSDYn1IFDPWt_1FKiwhDph83XaGc0o0/edit?usp=sharing"",""งบพรบ!AX54"")"),265040)</f>
        <v>265040</v>
      </c>
      <c r="O93" s="93">
        <f t="shared" ca="1" si="50"/>
        <v>69.960933375567521</v>
      </c>
      <c r="P93" s="93">
        <f t="shared" ca="1" si="51"/>
        <v>69.960933375567521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IFERROR(__xludf.DUMMYFUNCTION("IMPORTRANGE(""https://docs.google.com/spreadsheets/d/1MeEWN-I1oV_STSDYn1IFDPWt_1FKiwhDph83XaGc0o0/edit?usp=sharing"",""งบพรบ!AT54"")"),0)</f>
        <v>0</v>
      </c>
      <c r="M96" s="93">
        <f ca="1">IFERROR(__xludf.DUMMYFUNCTION("IMPORTRANGE(""https://docs.google.com/spreadsheets/d/1MeEWN-I1oV_STSDYn1IFDPWt_1FKiwhDph83XaGc0o0/edit?usp=sharing"",""งบพรบ!AW54"")"),0)</f>
        <v>0</v>
      </c>
      <c r="N96" s="93">
        <f ca="1">IFERROR(__xludf.DUMMYFUNCTION("IMPORTRANGE(""https://docs.google.com/spreadsheets/d/1MeEWN-I1oV_STSDYn1IFDPWt_1FKiwhDph83XaGc0o0/edit?usp=sharing"",""งบพรบ!AY54"")"),0)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IFERROR(__xludf.DUMMYFUNCTION("IMPORTRANGE(""https://docs.google.com/spreadsheets/d/1QqKyyYR6Q21VydFLVH3TRQUabQu_ym0Zz7PgGX0-kHA/edit?usp=sharing"",""แผน!K54"")"),30)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IFERROR(__xludf.DUMMYFUNCTION("IMPORTRANGE(""https://docs.google.com/spreadsheets/d/1QqKyyYR6Q21VydFLVH3TRQUabQu_ym0Zz7PgGX0-kHA/edit?usp=sharing"",""แผน!L54"")"),10)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IFERROR(__xludf.DUMMYFUNCTION("IMPORTRANGE(""https://docs.google.com/spreadsheets/d/1QqKyyYR6Q21VydFLVH3TRQUabQu_ym0Zz7PgGX0-kHA/edit?usp=sharing"",""แผน!M54"")"),2)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IFERROR(__xludf.DUMMYFUNCTION("IMPORTRANGE(""https://docs.google.com/spreadsheets/d/1QqKyyYR6Q21VydFLVH3TRQUabQu_ym0Zz7PgGX0-kHA/edit?usp=sharing"",""แผน!N54"")"),30)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IFERROR(__xludf.DUMMYFUNCTION("IMPORTRANGE(""https://docs.google.com/spreadsheets/d/1QqKyyYR6Q21VydFLVH3TRQUabQu_ym0Zz7PgGX0-kHA/edit?usp=sharing"",""แผน!O54"")"),10)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IFERROR(__xludf.DUMMYFUNCTION("IMPORTRANGE(""https://docs.google.com/spreadsheets/d/1QqKyyYR6Q21VydFLVH3TRQUabQu_ym0Zz7PgGX0-kHA/edit?usp=sharing"",""แผน!O54"")"),10)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IFERROR(__xludf.DUMMYFUNCTION("IMPORTRANGE(""https://docs.google.com/spreadsheets/d/1QqKyyYR6Q21VydFLVH3TRQUabQu_ym0Zz7PgGX0-kHA/edit?usp=sharing"",""แผน!P54"")"),1)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IFERROR(__xludf.DUMMYFUNCTION("IMPORTRANGE(""https://docs.google.com/spreadsheets/d/1QqKyyYR6Q21VydFLVH3TRQUabQu_ym0Zz7PgGX0-kHA/edit?usp=sharing"",""แผน!P54"")"),1)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IFERROR(__xludf.DUMMYFUNCTION("IMPORTRANGE(""https://docs.google.com/spreadsheets/d/1QqKyyYR6Q21VydFLVH3TRQUabQu_ym0Zz7PgGX0-kHA/edit?usp=sharing"",""แผน!Q54"")"),1)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IFERROR(__xludf.DUMMYFUNCTION("IMPORTRANGE(""https://docs.google.com/spreadsheets/d/1QqKyyYR6Q21VydFLVH3TRQUabQu_ym0Zz7PgGX0-kHA/edit?usp=sharing"",""แผน!R54"")"),10)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IFERROR(__xludf.DUMMYFUNCTION("IMPORTRANGE(""https://docs.google.com/spreadsheets/d/1QqKyyYR6Q21VydFLVH3TRQUabQu_ym0Zz7PgGX0-kHA/edit?usp=sharing"",""แผน!R54"")"),10)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IFERROR(__xludf.DUMMYFUNCTION("IMPORTRANGE(""https://docs.google.com/spreadsheets/d/1QqKyyYR6Q21VydFLVH3TRQUabQu_ym0Zz7PgGX0-kHA/edit?usp=sharing"",""แผน!R54"")"),10)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IFERROR(__xludf.DUMMYFUNCTION("IMPORTRANGE(""https://docs.google.com/spreadsheets/d/1QqKyyYR6Q21VydFLVH3TRQUabQu_ym0Zz7PgGX0-kHA/edit?usp=sharing"",""แผน!S54"")"),1)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IFERROR(__xludf.DUMMYFUNCTION("IMPORTRANGE(""https://docs.google.com/spreadsheets/d/1MeEWN-I1oV_STSDYn1IFDPWt_1FKiwhDph83XaGc0o0/edit?usp=sharing"",""งบพรบ!BA54"")"),0)</f>
        <v>0</v>
      </c>
      <c r="M124" s="93">
        <f ca="1">IFERROR(__xludf.DUMMYFUNCTION("IMPORTRANGE(""https://docs.google.com/spreadsheets/d/1MeEWN-I1oV_STSDYn1IFDPWt_1FKiwhDph83XaGc0o0/edit?usp=sharing"",""งบพรบ!BF54"")"),0)</f>
        <v>0</v>
      </c>
      <c r="N124" s="93">
        <f ca="1">IFERROR(__xludf.DUMMYFUNCTION("IMPORTRANGE(""https://docs.google.com/spreadsheets/d/1MeEWN-I1oV_STSDYn1IFDPWt_1FKiwhDph83XaGc0o0/edit?usp=sharing"",""งบพรบ!BH54"")"),0)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IFERROR(__xludf.DUMMYFUNCTION("IMPORTRANGE(""https://docs.google.com/spreadsheets/d/1MeEWN-I1oV_STSDYn1IFDPWt_1FKiwhDph83XaGc0o0/edit?usp=sharing"",""งบพรบ!BD54"")"),0)</f>
        <v>0</v>
      </c>
      <c r="M127" s="93">
        <f ca="1">IFERROR(__xludf.DUMMYFUNCTION("IMPORTRANGE(""https://docs.google.com/spreadsheets/d/1MeEWN-I1oV_STSDYn1IFDPWt_1FKiwhDph83XaGc0o0/edit?usp=sharing"",""งบพรบ!BG54"")"),0)</f>
        <v>0</v>
      </c>
      <c r="N127" s="93">
        <f ca="1">IFERROR(__xludf.DUMMYFUNCTION("IMPORTRANGE(""https://docs.google.com/spreadsheets/d/1MeEWN-I1oV_STSDYn1IFDPWt_1FKiwhDph83XaGc0o0/edit?usp=sharing"",""งบพรบ!BI54"")"),0)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IFERROR(__xludf.DUMMYFUNCTION("IMPORTRANGE(""https://docs.google.com/spreadsheets/d/1MeEWN-I1oV_STSDYn1IFDPWt_1FKiwhDph83XaGc0o0/edit?usp=sharing"",""งบพรบ!BK54"")"),0)</f>
        <v>0</v>
      </c>
      <c r="M137" s="93">
        <f ca="1">IFERROR(__xludf.DUMMYFUNCTION("IMPORTRANGE(""https://docs.google.com/spreadsheets/d/1MeEWN-I1oV_STSDYn1IFDPWt_1FKiwhDph83XaGc0o0/edit?usp=sharing"",""งบพรบ!BP54"")"),0)</f>
        <v>0</v>
      </c>
      <c r="N137" s="93">
        <f ca="1">IFERROR(__xludf.DUMMYFUNCTION("IMPORTRANGE(""https://docs.google.com/spreadsheets/d/1MeEWN-I1oV_STSDYn1IFDPWt_1FKiwhDph83XaGc0o0/edit?usp=sharing"",""งบพรบ!BR54"")"),0)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IFERROR(__xludf.DUMMYFUNCTION("IMPORTRANGE(""https://docs.google.com/spreadsheets/d/1MeEWN-I1oV_STSDYn1IFDPWt_1FKiwhDph83XaGc0o0/edit?usp=sharing"",""งบพรบ!BN54"")"),0)</f>
        <v>0</v>
      </c>
      <c r="M140" s="93">
        <f ca="1">IFERROR(__xludf.DUMMYFUNCTION("IMPORTRANGE(""https://docs.google.com/spreadsheets/d/1MeEWN-I1oV_STSDYn1IFDPWt_1FKiwhDph83XaGc0o0/edit?usp=sharing"",""งบพรบ!BQ54"")"),0)</f>
        <v>0</v>
      </c>
      <c r="N140" s="93">
        <f ca="1">IFERROR(__xludf.DUMMYFUNCTION("IMPORTRANGE(""https://docs.google.com/spreadsheets/d/1MeEWN-I1oV_STSDYn1IFDPWt_1FKiwhDph83XaGc0o0/edit?usp=sharing"",""งบพรบ!BS54"")"),0)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2240</v>
      </c>
      <c r="N149" s="155">
        <f t="shared" ca="1" si="77"/>
        <v>2240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2240</v>
      </c>
      <c r="N151" s="93">
        <f t="shared" ca="1" si="80"/>
        <v>2240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2240</v>
      </c>
      <c r="N152" s="497">
        <f t="shared" ca="1" si="81"/>
        <v>2240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IFERROR(__xludf.DUMMYFUNCTION("IMPORTRANGE(""https://docs.google.com/spreadsheets/d/1MeEWN-I1oV_STSDYn1IFDPWt_1FKiwhDph83XaGc0o0/edit?usp=sharing"",""งบพรบ!BU54"")"),0)</f>
        <v>0</v>
      </c>
      <c r="M154" s="93">
        <f ca="1">IFERROR(__xludf.DUMMYFUNCTION("IMPORTRANGE(""https://docs.google.com/spreadsheets/d/1MeEWN-I1oV_STSDYn1IFDPWt_1FKiwhDph83XaGc0o0/edit?usp=sharing"",""งบพรบ!BZ54"")"),2240)</f>
        <v>2240</v>
      </c>
      <c r="N154" s="93">
        <f ca="1">IFERROR(__xludf.DUMMYFUNCTION("IMPORTRANGE(""https://docs.google.com/spreadsheets/d/1MeEWN-I1oV_STSDYn1IFDPWt_1FKiwhDph83XaGc0o0/edit?usp=sharing"",""งบพรบ!CB54"")"),2240)</f>
        <v>2240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IFERROR(__xludf.DUMMYFUNCTION("IMPORTRANGE(""https://docs.google.com/spreadsheets/d/1MeEWN-I1oV_STSDYn1IFDPWt_1FKiwhDph83XaGc0o0/edit?usp=sharing"",""งบพรบ!BX54"")"),0)</f>
        <v>0</v>
      </c>
      <c r="M157" s="93">
        <f ca="1">IFERROR(__xludf.DUMMYFUNCTION("IMPORTRANGE(""https://docs.google.com/spreadsheets/d/1MeEWN-I1oV_STSDYn1IFDPWt_1FKiwhDph83XaGc0o0/edit?usp=sharing"",""งบพรบ!CA54"")"),0)</f>
        <v>0</v>
      </c>
      <c r="N157" s="93">
        <f ca="1">IFERROR(__xludf.DUMMYFUNCTION("IMPORTRANGE(""https://docs.google.com/spreadsheets/d/1MeEWN-I1oV_STSDYn1IFDPWt_1FKiwhDph83XaGc0o0/edit?usp=sharing"",""งบพรบ!CC54"")"),0)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31990</v>
      </c>
      <c r="N165" s="155">
        <f t="shared" ca="1" si="84"/>
        <v>31990</v>
      </c>
      <c r="O165" s="155">
        <f t="shared" ref="O165:O173" ca="1" si="85">IF(L165&gt;0,N165*100/L165,0)</f>
        <v>151.97149643705464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31990</v>
      </c>
      <c r="N167" s="93">
        <f t="shared" ca="1" si="87"/>
        <v>31990</v>
      </c>
      <c r="O167" s="93">
        <f t="shared" ca="1" si="85"/>
        <v>151.97149643705464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31990</v>
      </c>
      <c r="N168" s="497">
        <f t="shared" ca="1" si="88"/>
        <v>31990</v>
      </c>
      <c r="O168" s="497">
        <f t="shared" ca="1" si="85"/>
        <v>151.97149643705464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IFERROR(__xludf.DUMMYFUNCTION("IMPORTRANGE(""https://docs.google.com/spreadsheets/d/1MeEWN-I1oV_STSDYn1IFDPWt_1FKiwhDph83XaGc0o0/edit?usp=sharing"",""งบพรบ!CE54"")"),21050)</f>
        <v>21050</v>
      </c>
      <c r="M170" s="93">
        <f ca="1">IFERROR(__xludf.DUMMYFUNCTION("IMPORTRANGE(""https://docs.google.com/spreadsheets/d/1MeEWN-I1oV_STSDYn1IFDPWt_1FKiwhDph83XaGc0o0/edit?usp=sharing"",""งบพรบ!CJ54"")"),31990)</f>
        <v>31990</v>
      </c>
      <c r="N170" s="93">
        <f ca="1">IFERROR(__xludf.DUMMYFUNCTION("IMPORTRANGE(""https://docs.google.com/spreadsheets/d/1MeEWN-I1oV_STSDYn1IFDPWt_1FKiwhDph83XaGc0o0/edit?usp=sharing"",""งบพรบ!CL54"")"),31990)</f>
        <v>31990</v>
      </c>
      <c r="O170" s="93">
        <f t="shared" ca="1" si="85"/>
        <v>151.97149643705464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IFERROR(__xludf.DUMMYFUNCTION("IMPORTRANGE(""https://docs.google.com/spreadsheets/d/1MeEWN-I1oV_STSDYn1IFDPWt_1FKiwhDph83XaGc0o0/edit?usp=sharing"",""งบพรบ!CH54"")"),0)</f>
        <v>0</v>
      </c>
      <c r="M173" s="93">
        <f ca="1">IFERROR(__xludf.DUMMYFUNCTION("IMPORTRANGE(""https://docs.google.com/spreadsheets/d/1MeEWN-I1oV_STSDYn1IFDPWt_1FKiwhDph83XaGc0o0/edit?usp=sharing"",""งบพรบ!CK54"")"),0)</f>
        <v>0</v>
      </c>
      <c r="N173" s="93">
        <f ca="1">IFERROR(__xludf.DUMMYFUNCTION("IMPORTRANGE(""https://docs.google.com/spreadsheets/d/1MeEWN-I1oV_STSDYn1IFDPWt_1FKiwhDph83XaGc0o0/edit?usp=sharing"",""งบพรบ!CM54"")"),0)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142100</v>
      </c>
      <c r="M181" s="155">
        <f t="shared" ca="1" si="92"/>
        <v>150060</v>
      </c>
      <c r="N181" s="155">
        <f t="shared" ca="1" si="92"/>
        <v>110649</v>
      </c>
      <c r="O181" s="155">
        <f t="shared" ref="O181:O189" ca="1" si="93">IF(L181&gt;0,N181*100/L181,0)</f>
        <v>77.86699507389163</v>
      </c>
      <c r="P181" s="155">
        <f t="shared" ref="P181:P189" ca="1" si="94">IF(M181&gt;0,N181*100/M181,0)</f>
        <v>73.736505397840858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142100</v>
      </c>
      <c r="M183" s="93">
        <f t="shared" ca="1" si="95"/>
        <v>150060</v>
      </c>
      <c r="N183" s="93">
        <f t="shared" ca="1" si="95"/>
        <v>110649</v>
      </c>
      <c r="O183" s="93">
        <f t="shared" ca="1" si="93"/>
        <v>77.86699507389163</v>
      </c>
      <c r="P183" s="93">
        <f t="shared" ca="1" si="94"/>
        <v>73.736505397840858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142100</v>
      </c>
      <c r="M184" s="497">
        <f t="shared" ca="1" si="96"/>
        <v>150060</v>
      </c>
      <c r="N184" s="497">
        <f t="shared" ca="1" si="96"/>
        <v>110649</v>
      </c>
      <c r="O184" s="497">
        <f t="shared" ca="1" si="93"/>
        <v>77.86699507389163</v>
      </c>
      <c r="P184" s="497">
        <f t="shared" ca="1" si="94"/>
        <v>73.736505397840858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IFERROR(__xludf.DUMMYFUNCTION("IMPORTRANGE(""https://docs.google.com/spreadsheets/d/1MeEWN-I1oV_STSDYn1IFDPWt_1FKiwhDph83XaGc0o0/edit?usp=sharing"",""งบพรบ!CO54"")"),142100)</f>
        <v>142100</v>
      </c>
      <c r="M186" s="93">
        <f ca="1">IFERROR(__xludf.DUMMYFUNCTION("IMPORTRANGE(""https://docs.google.com/spreadsheets/d/1MeEWN-I1oV_STSDYn1IFDPWt_1FKiwhDph83XaGc0o0/edit?usp=sharing"",""งบพรบ!CT54"")"),150060)</f>
        <v>150060</v>
      </c>
      <c r="N186" s="93">
        <f ca="1">IFERROR(__xludf.DUMMYFUNCTION("IMPORTRANGE(""https://docs.google.com/spreadsheets/d/1MeEWN-I1oV_STSDYn1IFDPWt_1FKiwhDph83XaGc0o0/edit?usp=sharing"",""งบพรบ!CV54"")"),110649)</f>
        <v>110649</v>
      </c>
      <c r="O186" s="93">
        <f t="shared" ca="1" si="93"/>
        <v>77.86699507389163</v>
      </c>
      <c r="P186" s="93">
        <f t="shared" ca="1" si="94"/>
        <v>73.736505397840858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IFERROR(__xludf.DUMMYFUNCTION("IMPORTRANGE(""https://docs.google.com/spreadsheets/d/1MeEWN-I1oV_STSDYn1IFDPWt_1FKiwhDph83XaGc0o0/edit?usp=sharing"",""งบพรบ!CR54"")"),0)</f>
        <v>0</v>
      </c>
      <c r="M189" s="93">
        <f ca="1">IFERROR(__xludf.DUMMYFUNCTION("IMPORTRANGE(""https://docs.google.com/spreadsheets/d/1MeEWN-I1oV_STSDYn1IFDPWt_1FKiwhDph83XaGc0o0/edit?usp=sharing"",""งบพรบ!CU54"")"),0)</f>
        <v>0</v>
      </c>
      <c r="N189" s="93">
        <f ca="1">IFERROR(__xludf.DUMMYFUNCTION("IMPORTRANGE(""https://docs.google.com/spreadsheets/d/1MeEWN-I1oV_STSDYn1IFDPWt_1FKiwhDph83XaGc0o0/edit?usp=sharing"",""งบพรบ!CW54"")"),0)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IFERROR(__xludf.DUMMYFUNCTION("IMPORTRANGE(""https://docs.google.com/spreadsheets/d/1QqKyyYR6Q21VydFLVH3TRQUabQu_ym0Zz7PgGX0-kHA/edit?usp=sharing"",""แผน!Z54"")"),6000)</f>
        <v>6000</v>
      </c>
      <c r="M191" s="155"/>
      <c r="N191" s="276">
        <v>4640</v>
      </c>
      <c r="O191" s="155">
        <f ca="1">IF(L191&gt;0,N191*100/L191,0)</f>
        <v>77.333333333333329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258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258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IFERROR(__xludf.DUMMYFUNCTION("IMPORTRANGE(""https://docs.google.com/spreadsheets/d/1QqKyyYR6Q21VydFLVH3TRQUabQu_ym0Zz7PgGX0-kHA/edit?usp=sharing"",""แผน!AE54"")"),2000)</f>
        <v>2000</v>
      </c>
      <c r="M199" s="497"/>
      <c r="N199" s="284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IFERROR(__xludf.DUMMYFUNCTION("IMPORTRANGE(""https://docs.google.com/spreadsheets/d/1QqKyyYR6Q21VydFLVH3TRQUabQu_ym0Zz7PgGX0-kHA/edit?usp=sharing"",""แผน!AF54"")"),16000)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IFERROR(__xludf.DUMMYFUNCTION("IMPORTRANGE(""https://docs.google.com/spreadsheets/d/1QqKyyYR6Q21VydFLVH3TRQUabQu_ym0Zz7PgGX0-kHA/edit?usp=sharing"",""แผน!AG54"")"),8000)</f>
        <v>8000</v>
      </c>
      <c r="M201" s="497"/>
      <c r="N201" s="284">
        <v>8000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IFERROR(__xludf.DUMMYFUNCTION("IMPORTRANGE(""https://docs.google.com/spreadsheets/d/1QqKyyYR6Q21VydFLVH3TRQUabQu_ym0Zz7PgGX0-kHA/edit?usp=sharing"",""แผน!AI54"")"),2)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IFERROR(__xludf.DUMMYFUNCTION("IMPORTRANGE(""https://docs.google.com/spreadsheets/d/1QqKyyYR6Q21VydFLVH3TRQUabQu_ym0Zz7PgGX0-kHA/edit?usp=sharing"",""แผน!AK54"")"),1000)</f>
        <v>1000</v>
      </c>
      <c r="M210" s="497"/>
      <c r="N210" s="284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IFERROR(__xludf.DUMMYFUNCTION("IMPORTRANGE(""https://docs.google.com/spreadsheets/d/1QqKyyYR6Q21VydFLVH3TRQUabQu_ym0Zz7PgGX0-kHA/edit?usp=sharing"",""แผน!AL54"")"),5000)</f>
        <v>5000</v>
      </c>
      <c r="M211" s="497"/>
      <c r="N211" s="284">
        <v>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IFERROR(__xludf.DUMMYFUNCTION("IMPORTRANGE(""https://docs.google.com/spreadsheets/d/1QqKyyYR6Q21VydFLVH3TRQUabQu_ym0Zz7PgGX0-kHA/edit?usp=sharing"",""แผน!AM54"")"),8000)</f>
        <v>8000</v>
      </c>
      <c r="M212" s="497"/>
      <c r="N212" s="284">
        <v>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IFERROR(__xludf.DUMMYFUNCTION("IMPORTRANGE(""https://docs.google.com/spreadsheets/d/1QqKyyYR6Q21VydFLVH3TRQUabQu_ym0Zz7PgGX0-kHA/edit?usp=sharing"",""แผน!AN54"")"),1)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IFERROR(__xludf.DUMMYFUNCTION("IMPORTRANGE(""https://docs.google.com/spreadsheets/d/1QqKyyYR6Q21VydFLVH3TRQUabQu_ym0Zz7PgGX0-kHA/edit?usp=sharing"",""แผน!AQ54"")"),4100)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IFERROR(__xludf.DUMMYFUNCTION("IMPORTRANGE(""https://docs.google.com/spreadsheets/d/1QqKyyYR6Q21VydFLVH3TRQUabQu_ym0Zz7PgGX0-kHA/edit?usp=sharing"",""แผน!AT54"")"),12800)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IFERROR(__xludf.DUMMYFUNCTION("IMPORTRANGE(""https://docs.google.com/spreadsheets/d/1QqKyyYR6Q21VydFLVH3TRQUabQu_ym0Zz7PgGX0-kHA/edit?usp=sharing"",""แผน!AT54"")"),12800)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89000</v>
      </c>
      <c r="M227" s="356"/>
      <c r="N227" s="356">
        <f t="shared" ref="N227:N231" si="107">N238+N249</f>
        <v>58049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4689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39000</v>
      </c>
      <c r="M229" s="93"/>
      <c r="N229" s="93">
        <f t="shared" si="107"/>
        <v>23360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89000</v>
      </c>
      <c r="M238" s="155"/>
      <c r="N238" s="155">
        <f>N239+N240+N241+N242</f>
        <v>58049</v>
      </c>
      <c r="O238" s="155">
        <f ca="1">IF(L238&gt;0,N238*100/L238,0)</f>
        <v>65.223595505617979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IFERROR(__xludf.DUMMYFUNCTION("IMPORTRANGE(""https://docs.google.com/spreadsheets/d/1QqKyyYR6Q21VydFLVH3TRQUabQu_ym0Zz7PgGX0-kHA/edit?usp=sharing"",""แผน!AV54"")"),20000)</f>
        <v>20000</v>
      </c>
      <c r="M239" s="283"/>
      <c r="N239" s="872">
        <f>3909+780</f>
        <v>4689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IFERROR(__xludf.DUMMYFUNCTION("IMPORTRANGE(""https://docs.google.com/spreadsheets/d/1QqKyyYR6Q21VydFLVH3TRQUabQu_ym0Zz7PgGX0-kHA/edit?usp=sharing"",""แผน!AW54"")"),39000)</f>
        <v>39000</v>
      </c>
      <c r="M240" s="283"/>
      <c r="N240" s="872">
        <f>23360</f>
        <v>23360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IFERROR(__xludf.DUMMYFUNCTION("IMPORTRANGE(""https://docs.google.com/spreadsheets/d/1QqKyyYR6Q21VydFLVH3TRQUabQu_ym0Zz7PgGX0-kHA/edit?usp=sharing"",""แผน!AX54"")"),20000)</f>
        <v>20000</v>
      </c>
      <c r="M241" s="283"/>
      <c r="N241" s="872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IFERROR(__xludf.DUMMYFUNCTION("IMPORTRANGE(""https://docs.google.com/spreadsheets/d/1QqKyyYR6Q21VydFLVH3TRQUabQu_ym0Zz7PgGX0-kHA/edit?usp=sharing"",""แผน!AY54"")"),10000)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IFERROR(__xludf.DUMMYFUNCTION("IMPORTRANGE(""https://docs.google.com/spreadsheets/d/1QqKyyYR6Q21VydFLVH3TRQUabQu_ym0Zz7PgGX0-kHA/edit?usp=sharing"",""แผน!BE54"")"),20)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IFERROR(__xludf.DUMMYFUNCTION("IMPORTRANGE(""https://docs.google.com/spreadsheets/d/1QqKyyYR6Q21VydFLVH3TRQUabQu_ym0Zz7PgGX0-kHA/edit?usp=sharing"",""แผน!AZ54"")"),0)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IFERROR(__xludf.DUMMYFUNCTION("IMPORTRANGE(""https://docs.google.com/spreadsheets/d/1QqKyyYR6Q21VydFLVH3TRQUabQu_ym0Zz7PgGX0-kHA/edit?usp=sharing"",""แผน!BA54"")"),0)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IFERROR(__xludf.DUMMYFUNCTION("IMPORTRANGE(""https://docs.google.com/spreadsheets/d/1QqKyyYR6Q21VydFLVH3TRQUabQu_ym0Zz7PgGX0-kHA/edit?usp=sharing"",""แผน!BB54"")"),0)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IFERROR(__xludf.DUMMYFUNCTION("IMPORTRANGE(""https://docs.google.com/spreadsheets/d/1QqKyyYR6Q21VydFLVH3TRQUabQu_ym0Zz7PgGX0-kHA/edit?usp=sharing"",""แผน!BC54"")"),0)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IFERROR(__xludf.DUMMYFUNCTION("IMPORTRANGE(""https://docs.google.com/spreadsheets/d/1MeEWN-I1oV_STSDYn1IFDPWt_1FKiwhDph83XaGc0o0/edit?usp=sharing"",""งบพรบ!CY54"")"),26900)</f>
        <v>26900</v>
      </c>
      <c r="M266" s="93">
        <f ca="1">IFERROR(__xludf.DUMMYFUNCTION("IMPORTRANGE(""https://docs.google.com/spreadsheets/d/1MeEWN-I1oV_STSDYn1IFDPWt_1FKiwhDph83XaGc0o0/edit?usp=sharing"",""งบพรบ!DD54"")"),26900)</f>
        <v>26900</v>
      </c>
      <c r="N266" s="93">
        <f ca="1">IFERROR(__xludf.DUMMYFUNCTION("IMPORTRANGE(""https://docs.google.com/spreadsheets/d/1MeEWN-I1oV_STSDYn1IFDPWt_1FKiwhDph83XaGc0o0/edit?usp=sharing"",""งบพรบ!DF54"")"),23900)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IFERROR(__xludf.DUMMYFUNCTION("IMPORTRANGE(""https://docs.google.com/spreadsheets/d/1MeEWN-I1oV_STSDYn1IFDPWt_1FKiwhDph83XaGc0o0/edit?usp=sharing"",""งบพรบ!DB54"")"),0)</f>
        <v>0</v>
      </c>
      <c r="M269" s="93">
        <f ca="1">IFERROR(__xludf.DUMMYFUNCTION("IMPORTRANGE(""https://docs.google.com/spreadsheets/d/1MeEWN-I1oV_STSDYn1IFDPWt_1FKiwhDph83XaGc0o0/edit?usp=sharing"",""งบพรบ!DE54"")"),0)</f>
        <v>0</v>
      </c>
      <c r="N269" s="93">
        <f ca="1">IFERROR(__xludf.DUMMYFUNCTION("IMPORTRANGE(""https://docs.google.com/spreadsheets/d/1MeEWN-I1oV_STSDYn1IFDPWt_1FKiwhDph83XaGc0o0/edit?usp=sharing"",""งบพรบ!DG54"")"),0)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IFERROR(__xludf.DUMMYFUNCTION("IMPORTRANGE(""https://docs.google.com/spreadsheets/d/1MeEWN-I1oV_STSDYn1IFDPWt_1FKiwhDph83XaGc0o0/edit?usp=sharing"",""งบพรบ!DI54"")"),0)</f>
        <v>0</v>
      </c>
      <c r="M282" s="93">
        <f ca="1">IFERROR(__xludf.DUMMYFUNCTION("IMPORTRANGE(""https://docs.google.com/spreadsheets/d/1MeEWN-I1oV_STSDYn1IFDPWt_1FKiwhDph83XaGc0o0/edit?usp=sharing"",""งบพรบ!DN54"")"),0)</f>
        <v>0</v>
      </c>
      <c r="N282" s="93">
        <f ca="1">IFERROR(__xludf.DUMMYFUNCTION("IMPORTRANGE(""https://docs.google.com/spreadsheets/d/1MeEWN-I1oV_STSDYn1IFDPWt_1FKiwhDph83XaGc0o0/edit?usp=sharing"",""งบพรบ!DP54"")"),0)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IFERROR(__xludf.DUMMYFUNCTION("IMPORTRANGE(""https://docs.google.com/spreadsheets/d/1MeEWN-I1oV_STSDYn1IFDPWt_1FKiwhDph83XaGc0o0/edit?usp=sharing"",""งบพรบ!DL54"")"),0)</f>
        <v>0</v>
      </c>
      <c r="M285" s="93">
        <f ca="1">IFERROR(__xludf.DUMMYFUNCTION("IMPORTRANGE(""https://docs.google.com/spreadsheets/d/1MeEWN-I1oV_STSDYn1IFDPWt_1FKiwhDph83XaGc0o0/edit?usp=sharing"",""งบพรบ!DO54"")"),0)</f>
        <v>0</v>
      </c>
      <c r="N285" s="93">
        <f ca="1">IFERROR(__xludf.DUMMYFUNCTION("IMPORTRANGE(""https://docs.google.com/spreadsheets/d/1MeEWN-I1oV_STSDYn1IFDPWt_1FKiwhDph83XaGc0o0/edit?usp=sharing"",""งบพรบ!DQ54"")"),0)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IFERROR(__xludf.DUMMYFUNCTION("IMPORTRANGE(""https://docs.google.com/spreadsheets/d/1QqKyyYR6Q21VydFLVH3TRQUabQu_ym0Zz7PgGX0-kHA/edit?usp=sharing"",""แผน!EC54"")"),0)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IFERROR(__xludf.DUMMYFUNCTION("IMPORTRANGE(""https://docs.google.com/spreadsheets/d/1QqKyyYR6Q21VydFLVH3TRQUabQu_ym0Zz7PgGX0-kHA/edit?usp=sharing"",""แผน!EB54"")"),0)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IFERROR(__xludf.DUMMYFUNCTION("IMPORTRANGE(""https://docs.google.com/spreadsheets/d/1QqKyyYR6Q21VydFLVH3TRQUabQu_ym0Zz7PgGX0-kHA/edit?usp=sharing"",""แผน!EB54"")"),0)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IFERROR(__xludf.DUMMYFUNCTION("IMPORTRANGE(""https://docs.google.com/spreadsheets/d/1QqKyyYR6Q21VydFLVH3TRQUabQu_ym0Zz7PgGX0-kHA/edit?usp=sharing"",""แผน!EB54"")"),0)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IFERROR(__xludf.DUMMYFUNCTION("IMPORTRANGE(""https://docs.google.com/spreadsheets/d/1QqKyyYR6Q21VydFLVH3TRQUabQu_ym0Zz7PgGX0-kHA/edit?usp=sharing"",""แผน!EB54"")"),0)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IFERROR(__xludf.DUMMYFUNCTION("IMPORTRANGE(""https://docs.google.com/spreadsheets/d/1QqKyyYR6Q21VydFLVH3TRQUabQu_ym0Zz7PgGX0-kHA/edit?usp=sharing"",""แผน!EB54"")"),0)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IFERROR(__xludf.DUMMYFUNCTION("IMPORTRANGE(""https://docs.google.com/spreadsheets/d/1MeEWN-I1oV_STSDYn1IFDPWt_1FKiwhDph83XaGc0o0/edit?usp=sharing"",""งบพรบ!DS54"")"),0)</f>
        <v>0</v>
      </c>
      <c r="M303" s="93">
        <f ca="1">IFERROR(__xludf.DUMMYFUNCTION("IMPORTRANGE(""https://docs.google.com/spreadsheets/d/1MeEWN-I1oV_STSDYn1IFDPWt_1FKiwhDph83XaGc0o0/edit?usp=sharing"",""งบพรบ!DX54"")"),0)</f>
        <v>0</v>
      </c>
      <c r="N303" s="93">
        <f ca="1">IFERROR(__xludf.DUMMYFUNCTION("IMPORTRANGE(""https://docs.google.com/spreadsheets/d/1MeEWN-I1oV_STSDYn1IFDPWt_1FKiwhDph83XaGc0o0/edit?usp=sharing"",""งบพรบ!DZ54"")"),0)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IFERROR(__xludf.DUMMYFUNCTION("IMPORTRANGE(""https://docs.google.com/spreadsheets/d/1MeEWN-I1oV_STSDYn1IFDPWt_1FKiwhDph83XaGc0o0/edit?usp=sharing"",""งบพรบ!DV54"")"),0)</f>
        <v>0</v>
      </c>
      <c r="M306" s="93">
        <f ca="1">IFERROR(__xludf.DUMMYFUNCTION("IMPORTRANGE(""https://docs.google.com/spreadsheets/d/1MeEWN-I1oV_STSDYn1IFDPWt_1FKiwhDph83XaGc0o0/edit?usp=sharing"",""งบพรบ!DY54"")"),0)</f>
        <v>0</v>
      </c>
      <c r="N306" s="93">
        <f ca="1">IFERROR(__xludf.DUMMYFUNCTION("IMPORTRANGE(""https://docs.google.com/spreadsheets/d/1MeEWN-I1oV_STSDYn1IFDPWt_1FKiwhDph83XaGc0o0/edit?usp=sharing"",""งบพรบ!EA54"")"),0)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IFERROR(__xludf.DUMMYFUNCTION("IMPORTRANGE(""https://docs.google.com/spreadsheets/d/1MeEWN-I1oV_STSDYn1IFDPWt_1FKiwhDph83XaGc0o0/edit?usp=sharing"",""งบพรบ!EC54"")"),0)</f>
        <v>0</v>
      </c>
      <c r="M320" s="93">
        <f ca="1">IFERROR(__xludf.DUMMYFUNCTION("IMPORTRANGE(""https://docs.google.com/spreadsheets/d/1MeEWN-I1oV_STSDYn1IFDPWt_1FKiwhDph83XaGc0o0/edit?usp=sharing"",""งบพรบ!EH54"")"),0)</f>
        <v>0</v>
      </c>
      <c r="N320" s="93">
        <f ca="1">IFERROR(__xludf.DUMMYFUNCTION("IMPORTRANGE(""https://docs.google.com/spreadsheets/d/1MeEWN-I1oV_STSDYn1IFDPWt_1FKiwhDph83XaGc0o0/edit?usp=sharing"",""งบพรบ!EJ54"")"),0)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IFERROR(__xludf.DUMMYFUNCTION("IMPORTRANGE(""https://docs.google.com/spreadsheets/d/1MeEWN-I1oV_STSDYn1IFDPWt_1FKiwhDph83XaGc0o0/edit?usp=sharing"",""งบพรบ!EF54"")"),0)</f>
        <v>0</v>
      </c>
      <c r="M323" s="93">
        <f ca="1">IFERROR(__xludf.DUMMYFUNCTION("IMPORTRANGE(""https://docs.google.com/spreadsheets/d/1MeEWN-I1oV_STSDYn1IFDPWt_1FKiwhDph83XaGc0o0/edit?usp=sharing"",""งบพรบ!EI54"")"),0)</f>
        <v>0</v>
      </c>
      <c r="N323" s="93">
        <f ca="1">IFERROR(__xludf.DUMMYFUNCTION("IMPORTRANGE(""https://docs.google.com/spreadsheets/d/1MeEWN-I1oV_STSDYn1IFDPWt_1FKiwhDph83XaGc0o0/edit?usp=sharing"",""งบพรบ!EK54"")"),0)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IFERROR(__xludf.DUMMYFUNCTION("IMPORTRANGE(""https://docs.google.com/spreadsheets/d/1QqKyyYR6Q21VydFLVH3TRQUabQu_ym0Zz7PgGX0-kHA/edit?usp=sharing"",""แผน!EG54"")"),1600)</f>
        <v>1600</v>
      </c>
      <c r="J327" s="444">
        <f ca="1">J338+J341+J342+J343</f>
        <v>1814</v>
      </c>
      <c r="K327" s="445">
        <f ca="1">IF(I327&gt;0,J327*100/I327,0)</f>
        <v>113.375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134146</v>
      </c>
      <c r="O328" s="155">
        <f t="shared" ref="O328:O336" ca="1" si="150">IF(L328&gt;0,N328*100/L328,0)</f>
        <v>78.909411764705879</v>
      </c>
      <c r="P328" s="155">
        <f t="shared" ref="P328:P336" ca="1" si="151">IF(M328&gt;0,N328*100/M328,0)</f>
        <v>77.76579710144928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134146</v>
      </c>
      <c r="O330" s="93">
        <f t="shared" ca="1" si="150"/>
        <v>78.909411764705879</v>
      </c>
      <c r="P330" s="93">
        <f t="shared" ca="1" si="151"/>
        <v>77.76579710144928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172500</v>
      </c>
      <c r="N331" s="497">
        <f t="shared" ca="1" si="153"/>
        <v>134146</v>
      </c>
      <c r="O331" s="497">
        <f t="shared" ca="1" si="150"/>
        <v>78.909411764705879</v>
      </c>
      <c r="P331" s="497">
        <f t="shared" ca="1" si="151"/>
        <v>77.76579710144928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IFERROR(__xludf.DUMMYFUNCTION("IMPORTRANGE(""https://docs.google.com/spreadsheets/d/1MeEWN-I1oV_STSDYn1IFDPWt_1FKiwhDph83XaGc0o0/edit?usp=sharing"",""งบพรบ!EM54"")"),170000)</f>
        <v>170000</v>
      </c>
      <c r="M333" s="93">
        <f ca="1">IFERROR(__xludf.DUMMYFUNCTION("IMPORTRANGE(""https://docs.google.com/spreadsheets/d/1MeEWN-I1oV_STSDYn1IFDPWt_1FKiwhDph83XaGc0o0/edit?usp=sharing"",""งบพรบ!ER54"")"),172500)</f>
        <v>172500</v>
      </c>
      <c r="N333" s="93">
        <f ca="1">IFERROR(__xludf.DUMMYFUNCTION("IMPORTRANGE(""https://docs.google.com/spreadsheets/d/1MeEWN-I1oV_STSDYn1IFDPWt_1FKiwhDph83XaGc0o0/edit?usp=sharing"",""งบพรบ!ET54"")"),134146)</f>
        <v>134146</v>
      </c>
      <c r="O333" s="93">
        <f t="shared" ca="1" si="150"/>
        <v>78.909411764705879</v>
      </c>
      <c r="P333" s="93">
        <f t="shared" ca="1" si="151"/>
        <v>77.76579710144928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IFERROR(__xludf.DUMMYFUNCTION("IMPORTRANGE(""https://docs.google.com/spreadsheets/d/1MeEWN-I1oV_STSDYn1IFDPWt_1FKiwhDph83XaGc0o0/edit?usp=sharing"",""งบพรบ!EP54"")"),0)</f>
        <v>0</v>
      </c>
      <c r="M336" s="93">
        <f ca="1">IFERROR(__xludf.DUMMYFUNCTION("IMPORTRANGE(""https://docs.google.com/spreadsheets/d/1MeEWN-I1oV_STSDYn1IFDPWt_1FKiwhDph83XaGc0o0/edit?usp=sharing"",""งบพรบ!ES54"")"),0)</f>
        <v>0</v>
      </c>
      <c r="N336" s="93">
        <f ca="1">IFERROR(__xludf.DUMMYFUNCTION("IMPORTRANGE(""https://docs.google.com/spreadsheets/d/1MeEWN-I1oV_STSDYn1IFDPWt_1FKiwhDph83XaGc0o0/edit?usp=sharing"",""งบพรบ!EU54"")"),0)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IFERROR(__xludf.DUMMYFUNCTION("IMPORTRANGE(""https://docs.google.com/spreadsheets/d/1QqKyyYR6Q21VydFLVH3TRQUabQu_ym0Zz7PgGX0-kHA/edit?usp=sharing"",""แผน!EG54"")"),1600)</f>
        <v>1600</v>
      </c>
      <c r="J338" s="270">
        <f ca="1">IFERROR(__xludf.DUMMYFUNCTION("IMPORTRANGE(""https://docs.google.com/spreadsheets/d/1kVcqe37tkHyjCSG3S0O1AXqVkqjo8mSIZil3BcpIysc/edit?usp=sharing"",""ศูนย์!D54"")"),1659)</f>
        <v>1659</v>
      </c>
      <c r="K338" s="497">
        <f ca="1">IF(I338&gt;0,J338*100/I338,0)</f>
        <v>103.6875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IFERROR(__xludf.DUMMYFUNCTION("IMPORTRANGE(""https://docs.google.com/spreadsheets/d/1QqKyyYR6Q21VydFLVH3TRQUabQu_ym0Zz7PgGX0-kHA/edit?usp=sharing"",""แผน!EH54"")"),6)</f>
        <v>6</v>
      </c>
      <c r="J340" s="270">
        <f ca="1">IFERROR(__xludf.DUMMYFUNCTION("IMPORTRANGE(""https://docs.google.com/spreadsheets/d/1kVcqe37tkHyjCSG3S0O1AXqVkqjo8mSIZil3BcpIysc/edit?usp=sharing"",""ศูนย์!E54"")"),4)</f>
        <v>4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IFERROR(__xludf.DUMMYFUNCTION("IMPORTRANGE(""https://docs.google.com/spreadsheets/d/1kVcqe37tkHyjCSG3S0O1AXqVkqjo8mSIZil3BcpIysc/edit?usp=sharing"",""ศูนย์!F54"")"),80)</f>
        <v>80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IFERROR(__xludf.DUMMYFUNCTION("IMPORTRANGE(""https://docs.google.com/spreadsheets/d/1kVcqe37tkHyjCSG3S0O1AXqVkqjo8mSIZil3BcpIysc/edit?usp=sharing"",""ศูนย์!G54"")"),75)</f>
        <v>75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979550</v>
      </c>
      <c r="M345" s="155">
        <f t="shared" ca="1" si="155"/>
        <v>979550</v>
      </c>
      <c r="N345" s="155">
        <f t="shared" ca="1" si="155"/>
        <v>730478</v>
      </c>
      <c r="O345" s="155">
        <f t="shared" ref="O345:O353" ca="1" si="156">IF(L345&gt;0,N345*100/L345,0)</f>
        <v>74.572814047266604</v>
      </c>
      <c r="P345" s="155">
        <f t="shared" ref="P345:P353" ca="1" si="157">IF(M345&gt;0,N345*100/M345,0)</f>
        <v>74.572814047266604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979550</v>
      </c>
      <c r="M347" s="93">
        <f t="shared" ca="1" si="158"/>
        <v>979550</v>
      </c>
      <c r="N347" s="93">
        <f t="shared" ca="1" si="158"/>
        <v>730478</v>
      </c>
      <c r="O347" s="93">
        <f t="shared" ca="1" si="156"/>
        <v>74.572814047266604</v>
      </c>
      <c r="P347" s="93">
        <f t="shared" ca="1" si="157"/>
        <v>74.572814047266604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815350</v>
      </c>
      <c r="M348" s="497">
        <f t="shared" ca="1" si="159"/>
        <v>815350</v>
      </c>
      <c r="N348" s="497">
        <f t="shared" ca="1" si="159"/>
        <v>566278</v>
      </c>
      <c r="O348" s="497">
        <f t="shared" ca="1" si="156"/>
        <v>69.452137119028635</v>
      </c>
      <c r="P348" s="497">
        <f t="shared" ca="1" si="157"/>
        <v>69.452137119028635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IFERROR(__xludf.DUMMYFUNCTION("IMPORTRANGE(""https://docs.google.com/spreadsheets/d/1MeEWN-I1oV_STSDYn1IFDPWt_1FKiwhDph83XaGc0o0/edit?usp=sharing"",""งบพรบ!EW54"")"),815350)</f>
        <v>815350</v>
      </c>
      <c r="M350" s="93">
        <f ca="1">IFERROR(__xludf.DUMMYFUNCTION("IMPORTRANGE(""https://docs.google.com/spreadsheets/d/1MeEWN-I1oV_STSDYn1IFDPWt_1FKiwhDph83XaGc0o0/edit?usp=sharing"",""งบพรบ!FB54"")"),815350)</f>
        <v>815350</v>
      </c>
      <c r="N350" s="93">
        <f ca="1">IFERROR(__xludf.DUMMYFUNCTION("IMPORTRANGE(""https://docs.google.com/spreadsheets/d/1MeEWN-I1oV_STSDYn1IFDPWt_1FKiwhDph83XaGc0o0/edit?usp=sharing"",""งบพรบ!FD54"")"),566278)</f>
        <v>566278</v>
      </c>
      <c r="O350" s="93">
        <f t="shared" ca="1" si="156"/>
        <v>69.452137119028635</v>
      </c>
      <c r="P350" s="93">
        <f t="shared" ca="1" si="157"/>
        <v>69.452137119028635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164200</v>
      </c>
      <c r="M351" s="497">
        <f t="shared" ca="1" si="160"/>
        <v>164200</v>
      </c>
      <c r="N351" s="497">
        <f t="shared" ca="1" si="160"/>
        <v>164200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IFERROR(__xludf.DUMMYFUNCTION("IMPORTRANGE(""https://docs.google.com/spreadsheets/d/1MeEWN-I1oV_STSDYn1IFDPWt_1FKiwhDph83XaGc0o0/edit?usp=sharing"",""งบพรบ!EZ54"")"),164200)</f>
        <v>164200</v>
      </c>
      <c r="M353" s="93">
        <f ca="1">IFERROR(__xludf.DUMMYFUNCTION("IMPORTRANGE(""https://docs.google.com/spreadsheets/d/1MeEWN-I1oV_STSDYn1IFDPWt_1FKiwhDph83XaGc0o0/edit?usp=sharing"",""งบพรบ!FC54"")"),164200)</f>
        <v>164200</v>
      </c>
      <c r="N353" s="93">
        <f ca="1">IFERROR(__xludf.DUMMYFUNCTION("IMPORTRANGE(""https://docs.google.com/spreadsheets/d/1MeEWN-I1oV_STSDYn1IFDPWt_1FKiwhDph83XaGc0o0/edit?usp=sharing"",""งบพรบ!FE54"")"),164200)</f>
        <v>164200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IFERROR(__xludf.DUMMYFUNCTION("IMPORTRANGE(""https://docs.google.com/spreadsheets/d/1QqKyyYR6Q21VydFLVH3TRQUabQu_ym0Zz7PgGX0-kHA/edit?usp=sharing"",""แผน!EP54"")"),255)</f>
        <v>255</v>
      </c>
      <c r="J355" s="464">
        <f ca="1">J362</f>
        <v>55</v>
      </c>
      <c r="K355" s="465">
        <f ca="1">IF(I355&gt;0,J355*100/I355,0)</f>
        <v>21.568627450980394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IFERROR(__xludf.DUMMYFUNCTION("IMPORTRANGE(""https://docs.google.com/spreadsheets/d/1XWAQStnk-4SwqDmLtmXYiTMKHgktTP8We1SCoS47DrQ/edit?usp=sharing"",""จัดที่ดิน!W54"")"),198)</f>
        <v>198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IFERROR(__xludf.DUMMYFUNCTION("IMPORTRANGE(""https://docs.google.com/spreadsheets/d/1QqKyyYR6Q21VydFLVH3TRQUabQu_ym0Zz7PgGX0-kHA/edit?usp=sharing"",""แผน!EO54"")"),3700)</f>
        <v>3700</v>
      </c>
      <c r="J359" s="270">
        <f ca="1">IFERROR(__xludf.DUMMYFUNCTION("IMPORTRANGE(""https://docs.google.com/spreadsheets/d/1XWAQStnk-4SwqDmLtmXYiTMKHgktTP8We1SCoS47DrQ/edit?usp=sharing"",""จัดที่ดิน!X54"")"),1733.65)</f>
        <v>1733.65</v>
      </c>
      <c r="K359" s="497">
        <f t="shared" ca="1" si="161"/>
        <v>46.855405405405406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IFERROR(__xludf.DUMMYFUNCTION("IMPORTRANGE(""https://docs.google.com/spreadsheets/d/1QqKyyYR6Q21VydFLVH3TRQUabQu_ym0Zz7PgGX0-kHA/edit?usp=sharing"",""แผน!EP54"")"),255)</f>
        <v>255</v>
      </c>
      <c r="J360" s="270">
        <f ca="1">IFERROR(__xludf.DUMMYFUNCTION("IMPORTRANGE(""https://docs.google.com/spreadsheets/d/1XWAQStnk-4SwqDmLtmXYiTMKHgktTP8We1SCoS47DrQ/edit?usp=sharing"",""จัดที่ดิน!Y54"")"),65)</f>
        <v>65</v>
      </c>
      <c r="K360" s="497">
        <f t="shared" ca="1" si="161"/>
        <v>25.490196078431371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IFERROR(__xludf.DUMMYFUNCTION("IMPORTRANGE(""https://docs.google.com/spreadsheets/d/1XWAQStnk-4SwqDmLtmXYiTMKHgktTP8We1SCoS47DrQ/edit?usp=sharing"",""จัดที่ดิน!Z54"")"),629.46)</f>
        <v>629.46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IFERROR(__xludf.DUMMYFUNCTION("IMPORTRANGE(""https://docs.google.com/spreadsheets/d/1QqKyyYR6Q21VydFLVH3TRQUabQu_ym0Zz7PgGX0-kHA/edit?usp=sharing"",""แผน!EP54"")"),255)</f>
        <v>255</v>
      </c>
      <c r="J362" s="270">
        <f ca="1">IFERROR(__xludf.DUMMYFUNCTION("IMPORTRANGE(""https://docs.google.com/spreadsheets/d/1XWAQStnk-4SwqDmLtmXYiTMKHgktTP8We1SCoS47DrQ/edit?usp=sharing"",""จัดที่ดิน!AA54"")"),55)</f>
        <v>55</v>
      </c>
      <c r="K362" s="497">
        <f t="shared" ca="1" si="161"/>
        <v>21.568627450980394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IFERROR(__xludf.DUMMYFUNCTION("IMPORTRANGE(""https://docs.google.com/spreadsheets/d/1XWAQStnk-4SwqDmLtmXYiTMKHgktTP8We1SCoS47DrQ/edit?usp=sharing"",""จัดที่ดิน!AB54"")"),453.99)</f>
        <v>453.99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355</v>
      </c>
      <c r="J364" s="478">
        <f t="shared" ca="1" si="162"/>
        <v>165</v>
      </c>
      <c r="K364" s="479">
        <f t="shared" ca="1" si="161"/>
        <v>46.478873239436616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IFERROR(__xludf.DUMMYFUNCTION("IMPORTRANGE(""https://docs.google.com/spreadsheets/d/1QqKyyYR6Q21VydFLVH3TRQUabQu_ym0Zz7PgGX0-kHA/edit?usp=sharing"",""แผน!EJ54"")"),205)</f>
        <v>205</v>
      </c>
      <c r="J365" s="490">
        <f ca="1">J372</f>
        <v>43</v>
      </c>
      <c r="K365" s="491">
        <f t="shared" ca="1" si="161"/>
        <v>20.975609756097562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IFERROR(__xludf.DUMMYFUNCTION("IMPORTRANGE(""https://docs.google.com/spreadsheets/d/1XWAQStnk-4SwqDmLtmXYiTMKHgktTP8We1SCoS47DrQ/edit?usp=sharing"",""จัดที่ดิน!E54"")"),75)</f>
        <v>75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IFERROR(__xludf.DUMMYFUNCTION("IMPORTRANGE(""https://docs.google.com/spreadsheets/d/1QqKyyYR6Q21VydFLVH3TRQUabQu_ym0Zz7PgGX0-kHA/edit?usp=sharing"",""แผน!EI54"")"),2700)</f>
        <v>2700</v>
      </c>
      <c r="J369" s="270">
        <f ca="1">IFERROR(__xludf.DUMMYFUNCTION("IMPORTRANGE(""https://docs.google.com/spreadsheets/d/1XWAQStnk-4SwqDmLtmXYiTMKHgktTP8We1SCoS47DrQ/edit?usp=sharing"",""จัดที่ดิน!F54"")"),802.51)</f>
        <v>802.51</v>
      </c>
      <c r="K369" s="497">
        <f t="shared" ca="1" si="163"/>
        <v>29.722592592592594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IFERROR(__xludf.DUMMYFUNCTION("IMPORTRANGE(""https://docs.google.com/spreadsheets/d/1QqKyyYR6Q21VydFLVH3TRQUabQu_ym0Zz7PgGX0-kHA/edit?usp=sharing"",""แผน!EJ54"")"),205)</f>
        <v>205</v>
      </c>
      <c r="J370" s="270">
        <f ca="1">IFERROR(__xludf.DUMMYFUNCTION("IMPORTRANGE(""https://docs.google.com/spreadsheets/d/1XWAQStnk-4SwqDmLtmXYiTMKHgktTP8We1SCoS47DrQ/edit?usp=sharing"",""จัดที่ดิน!G54"")"),53)</f>
        <v>53</v>
      </c>
      <c r="K370" s="497">
        <f t="shared" ca="1" si="163"/>
        <v>25.853658536585368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IFERROR(__xludf.DUMMYFUNCTION("IMPORTRANGE(""https://docs.google.com/spreadsheets/d/1XWAQStnk-4SwqDmLtmXYiTMKHgktTP8We1SCoS47DrQ/edit?usp=sharing"",""จัดที่ดิน!H54"")"),551.02)</f>
        <v>551.02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IFERROR(__xludf.DUMMYFUNCTION("IMPORTRANGE(""https://docs.google.com/spreadsheets/d/1QqKyyYR6Q21VydFLVH3TRQUabQu_ym0Zz7PgGX0-kHA/edit?usp=sharing"",""แผน!EJ54"")"),205)</f>
        <v>205</v>
      </c>
      <c r="J372" s="270">
        <f ca="1">IFERROR(__xludf.DUMMYFUNCTION("IMPORTRANGE(""https://docs.google.com/spreadsheets/d/1XWAQStnk-4SwqDmLtmXYiTMKHgktTP8We1SCoS47DrQ/edit?usp=sharing"",""จัดที่ดิน!I54"")"),43)</f>
        <v>43</v>
      </c>
      <c r="K372" s="497">
        <f t="shared" ca="1" si="163"/>
        <v>20.975609756097562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IFERROR(__xludf.DUMMYFUNCTION("IMPORTRANGE(""https://docs.google.com/spreadsheets/d/1XWAQStnk-4SwqDmLtmXYiTMKHgktTP8We1SCoS47DrQ/edit?usp=sharing"",""จัดที่ดิน!J54"")"),375.55)</f>
        <v>375.55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IFERROR(__xludf.DUMMYFUNCTION("IMPORTRANGE(""https://docs.google.com/spreadsheets/d/1QqKyyYR6Q21VydFLVH3TRQUabQu_ym0Zz7PgGX0-kHA/edit?usp=sharing"",""แผน!EU54"")"),150)</f>
        <v>150</v>
      </c>
      <c r="J374" s="490">
        <f ca="1">J381</f>
        <v>122</v>
      </c>
      <c r="K374" s="491">
        <f t="shared" ca="1" si="163"/>
        <v>81.333333333333329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IFERROR(__xludf.DUMMYFUNCTION("IMPORTRANGE(""https://docs.google.com/spreadsheets/d/1XWAQStnk-4SwqDmLtmXYiTMKHgktTP8We1SCoS47DrQ/edit?usp=sharing"",""จัดที่ดิน!AH54"")"),123)</f>
        <v>123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IFERROR(__xludf.DUMMYFUNCTION("IMPORTRANGE(""https://docs.google.com/spreadsheets/d/1QqKyyYR6Q21VydFLVH3TRQUabQu_ym0Zz7PgGX0-kHA/edit?usp=sharing"",""แผน!ET54"")"),1000)</f>
        <v>1000</v>
      </c>
      <c r="J378" s="270">
        <f ca="1">IFERROR(__xludf.DUMMYFUNCTION("IMPORTRANGE(""https://docs.google.com/spreadsheets/d/1XWAQStnk-4SwqDmLtmXYiTMKHgktTP8We1SCoS47DrQ/edit?usp=sharing"",""จัดที่ดิน!AI54"")"),931.14)</f>
        <v>931.14</v>
      </c>
      <c r="K378" s="497">
        <f t="shared" ca="1" si="164"/>
        <v>93.114000000000004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IFERROR(__xludf.DUMMYFUNCTION("IMPORTRANGE(""https://docs.google.com/spreadsheets/d/1QqKyyYR6Q21VydFLVH3TRQUabQu_ym0Zz7PgGX0-kHA/edit?usp=sharing"",""แผน!EU54"")"),150)</f>
        <v>150</v>
      </c>
      <c r="J379" s="270">
        <f ca="1">IFERROR(__xludf.DUMMYFUNCTION("IMPORTRANGE(""https://docs.google.com/spreadsheets/d/1XWAQStnk-4SwqDmLtmXYiTMKHgktTP8We1SCoS47DrQ/edit?usp=sharing"",""จัดที่ดิน!AJ54"")"),121)</f>
        <v>121</v>
      </c>
      <c r="K379" s="497">
        <f t="shared" ca="1" si="164"/>
        <v>80.666666666666671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IFERROR(__xludf.DUMMYFUNCTION("IMPORTRANGE(""https://docs.google.com/spreadsheets/d/1XWAQStnk-4SwqDmLtmXYiTMKHgktTP8We1SCoS47DrQ/edit?usp=sharing"",""จัดที่ดิน!AK54"")"),1501.94)</f>
        <v>1501.94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IFERROR(__xludf.DUMMYFUNCTION("IMPORTRANGE(""https://docs.google.com/spreadsheets/d/1QqKyyYR6Q21VydFLVH3TRQUabQu_ym0Zz7PgGX0-kHA/edit?usp=sharing"",""แผน!EU54"")"),150)</f>
        <v>150</v>
      </c>
      <c r="J381" s="270">
        <f ca="1">IFERROR(__xludf.DUMMYFUNCTION("IMPORTRANGE(""https://docs.google.com/spreadsheets/d/1XWAQStnk-4SwqDmLtmXYiTMKHgktTP8We1SCoS47DrQ/edit?usp=sharing"",""จัดที่ดิน!AL54"")"),122)</f>
        <v>122</v>
      </c>
      <c r="K381" s="497">
        <f t="shared" ca="1" si="164"/>
        <v>81.333333333333329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IFERROR(__xludf.DUMMYFUNCTION("IMPORTRANGE(""https://docs.google.com/spreadsheets/d/1XWAQStnk-4SwqDmLtmXYiTMKHgktTP8We1SCoS47DrQ/edit?usp=sharing"",""จัดที่ดิน!AM54"")"),1510.17)</f>
        <v>1510.17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IFERROR(__xludf.DUMMYFUNCTION("IMPORTRANGE(""https://docs.google.com/spreadsheets/d/1QqKyyYR6Q21VydFLVH3TRQUabQu_ym0Zz7PgGX0-kHA/edit?usp=sharing"",""แผน!EW54"")"),10)</f>
        <v>10</v>
      </c>
      <c r="J385" s="501">
        <f ca="1">IFERROR(__xludf.DUMMYFUNCTION("IMPORTRANGE(""https://docs.google.com/spreadsheets/d/1XWAQStnk-4SwqDmLtmXYiTMKHgktTP8We1SCoS47DrQ/edit?usp=sharing"",""จัดที่ดิน!AP54"")"),7)</f>
        <v>7</v>
      </c>
      <c r="K385" s="502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IFERROR(__xludf.DUMMYFUNCTION("IMPORTRANGE(""https://docs.google.com/spreadsheets/d/1MeEWN-I1oV_STSDYn1IFDPWt_1FKiwhDph83XaGc0o0/edit?usp=sharing"",""งบพรบ!FG54"")"),0)</f>
        <v>0</v>
      </c>
      <c r="M394" s="93">
        <f ca="1">IFERROR(__xludf.DUMMYFUNCTION("IMPORTRANGE(""https://docs.google.com/spreadsheets/d/1MeEWN-I1oV_STSDYn1IFDPWt_1FKiwhDph83XaGc0o0/edit?usp=sharing"",""งบพรบ!FL54"")"),0)</f>
        <v>0</v>
      </c>
      <c r="N394" s="93">
        <f ca="1">IFERROR(__xludf.DUMMYFUNCTION("IMPORTRANGE(""https://docs.google.com/spreadsheets/d/1MeEWN-I1oV_STSDYn1IFDPWt_1FKiwhDph83XaGc0o0/edit?usp=sharing"",""งบพรบ!FN54"")"),0)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IFERROR(__xludf.DUMMYFUNCTION("IMPORTRANGE(""https://docs.google.com/spreadsheets/d/1MeEWN-I1oV_STSDYn1IFDPWt_1FKiwhDph83XaGc0o0/edit?usp=sharing"",""งบพรบ!FJ54"")"),0)</f>
        <v>0</v>
      </c>
      <c r="M397" s="93">
        <f ca="1">IFERROR(__xludf.DUMMYFUNCTION("IMPORTRANGE(""https://docs.google.com/spreadsheets/d/1MeEWN-I1oV_STSDYn1IFDPWt_1FKiwhDph83XaGc0o0/edit?usp=sharing"",""งบพรบ!FM54"")"),0)</f>
        <v>0</v>
      </c>
      <c r="N397" s="93">
        <f ca="1">IFERROR(__xludf.DUMMYFUNCTION("IMPORTRANGE(""https://docs.google.com/spreadsheets/d/1MeEWN-I1oV_STSDYn1IFDPWt_1FKiwhDph83XaGc0o0/edit?usp=sharing"",""งบพรบ!FO54"")"),0)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IFERROR(__xludf.DUMMYFUNCTION("IMPORTRANGE(""https://docs.google.com/spreadsheets/d/1MeEWN-I1oV_STSDYn1IFDPWt_1FKiwhDph83XaGc0o0/edit?usp=sharing"",""งบพรบ!FQ54"")"),0)</f>
        <v>0</v>
      </c>
      <c r="M407" s="93">
        <f ca="1">IFERROR(__xludf.DUMMYFUNCTION("IMPORTRANGE(""https://docs.google.com/spreadsheets/d/1MeEWN-I1oV_STSDYn1IFDPWt_1FKiwhDph83XaGc0o0/edit?usp=sharing"",""งบพรบ!FV54"")"),0)</f>
        <v>0</v>
      </c>
      <c r="N407" s="93">
        <f ca="1">IFERROR(__xludf.DUMMYFUNCTION("IMPORTRANGE(""https://docs.google.com/spreadsheets/d/1MeEWN-I1oV_STSDYn1IFDPWt_1FKiwhDph83XaGc0o0/edit?usp=sharing"",""งบพรบ!FX54"")"),0)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IFERROR(__xludf.DUMMYFUNCTION("IMPORTRANGE(""https://docs.google.com/spreadsheets/d/1MeEWN-I1oV_STSDYn1IFDPWt_1FKiwhDph83XaGc0o0/edit?usp=sharing"",""งบพรบ!FT54"")"),0)</f>
        <v>0</v>
      </c>
      <c r="M410" s="93">
        <f ca="1">IFERROR(__xludf.DUMMYFUNCTION("IMPORTRANGE(""https://docs.google.com/spreadsheets/d/1MeEWN-I1oV_STSDYn1IFDPWt_1FKiwhDph83XaGc0o0/edit?usp=sharing"",""งบพรบ!FW54"")"),0)</f>
        <v>0</v>
      </c>
      <c r="N410" s="93">
        <f ca="1">IFERROR(__xludf.DUMMYFUNCTION("IMPORTRANGE(""https://docs.google.com/spreadsheets/d/1MeEWN-I1oV_STSDYn1IFDPWt_1FKiwhDph83XaGc0o0/edit?usp=sharing"",""งบพรบ!FY54"")"),0)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809833</v>
      </c>
      <c r="M414" s="549">
        <f t="shared" ca="1" si="181"/>
        <v>809833</v>
      </c>
      <c r="N414" s="549">
        <f t="shared" si="181"/>
        <v>622106</v>
      </c>
      <c r="O414" s="549">
        <f ca="1">IF(L414&gt;0,N414*100/L414,0)</f>
        <v>76.819047877772334</v>
      </c>
      <c r="P414" s="549">
        <f ca="1">IF(M414&gt;0,N414*100/M414,0)</f>
        <v>76.819047877772334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52710</v>
      </c>
      <c r="O419" s="155">
        <f t="shared" ref="O419:O424" ca="1" si="185">IF(L419&gt;0,N419*100/L419,0)</f>
        <v>67.009916094584284</v>
      </c>
      <c r="P419" s="155">
        <f t="shared" ref="P419:P424" ca="1" si="186">IF(M419&gt;0,N419*100/M419,0)</f>
        <v>67.009916094584284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52710</v>
      </c>
      <c r="O421" s="93">
        <f t="shared" ca="1" si="185"/>
        <v>67.009916094584284</v>
      </c>
      <c r="P421" s="93">
        <f t="shared" ca="1" si="186"/>
        <v>67.009916094584284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52710</v>
      </c>
      <c r="O422" s="497">
        <f t="shared" ca="1" si="185"/>
        <v>67.009916094584284</v>
      </c>
      <c r="P422" s="497">
        <f t="shared" ca="1" si="186"/>
        <v>67.009916094584284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IFERROR(__xludf.DUMMYFUNCTION("IMPORTRANGE(""https://docs.google.com/spreadsheets/d/1QqKyyYR6Q21VydFLVH3TRQUabQu_ym0Zz7PgGX0-kHA/edit?usp=sharing"",""แผน!EY54"")"),78660)</f>
        <v>78660</v>
      </c>
      <c r="M424" s="93">
        <f ca="1">L424</f>
        <v>78660</v>
      </c>
      <c r="N424" s="93">
        <f>N425+N426+N427+N428</f>
        <v>52710</v>
      </c>
      <c r="O424" s="93">
        <f t="shared" ca="1" si="185"/>
        <v>67.009916094584284</v>
      </c>
      <c r="P424" s="93">
        <f t="shared" ca="1" si="186"/>
        <v>67.009916094584284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50610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2100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IFERROR(__xludf.DUMMYFUNCTION("IMPORTRANGE(""https://docs.google.com/spreadsheets/d/1QqKyyYR6Q21VydFLVH3TRQUabQu_ym0Zz7PgGX0-kHA/edit?usp=sharing"",""แผน!FC54"")"),20)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IFERROR(__xludf.DUMMYFUNCTION("IMPORTRANGE(""https://docs.google.com/spreadsheets/d/1QqKyyYR6Q21VydFLVH3TRQUabQu_ym0Zz7PgGX0-kHA/edit?usp=sharing"",""แผน!FD54"")"),0)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IFERROR(__xludf.DUMMYFUNCTION("IMPORTRANGE(""https://docs.google.com/spreadsheets/d/1QqKyyYR6Q21VydFLVH3TRQUabQu_ym0Zz7PgGX0-kHA/edit?usp=sharing"",""แผน!FF54"")"),20)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IFERROR(__xludf.DUMMYFUNCTION("IMPORTRANGE(""https://docs.google.com/spreadsheets/d/1QqKyyYR6Q21VydFLVH3TRQUabQu_ym0Zz7PgGX0-kHA/edit?usp=sharing"",""แผน!FX54"")"),51)</f>
        <v>51</v>
      </c>
      <c r="J465" s="585">
        <f>J485+J489+J492</f>
        <v>67</v>
      </c>
      <c r="K465" s="586">
        <f t="shared" ref="K465:K466" ca="1" si="205">IF(I465&gt;0,J465*100/I465,0)</f>
        <v>131.37254901960785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IFERROR(__xludf.DUMMYFUNCTION("IMPORTRANGE(""https://docs.google.com/spreadsheets/d/1QqKyyYR6Q21VydFLVH3TRQUabQu_ym0Zz7PgGX0-kHA/edit?usp=sharing"",""แผน!FW54"")"),500)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410113</v>
      </c>
      <c r="M467" s="195">
        <f t="shared" ca="1" si="206"/>
        <v>410113</v>
      </c>
      <c r="N467" s="195">
        <f t="shared" si="206"/>
        <v>403620</v>
      </c>
      <c r="O467" s="195">
        <f t="shared" ref="O467:O472" ca="1" si="207">IF(L467&gt;0,N467*100/L467,0)</f>
        <v>98.416777814894914</v>
      </c>
      <c r="P467" s="195">
        <f t="shared" ref="P467:P472" ca="1" si="208">IF(M467&gt;0,N467*100/M467,0)</f>
        <v>98.416777814894914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410113</v>
      </c>
      <c r="M469" s="93">
        <f t="shared" ca="1" si="209"/>
        <v>410113</v>
      </c>
      <c r="N469" s="93">
        <f t="shared" si="209"/>
        <v>403620</v>
      </c>
      <c r="O469" s="93">
        <f t="shared" ca="1" si="207"/>
        <v>98.416777814894914</v>
      </c>
      <c r="P469" s="93">
        <f t="shared" ca="1" si="208"/>
        <v>98.416777814894914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410113</v>
      </c>
      <c r="M470" s="497">
        <f t="shared" ca="1" si="210"/>
        <v>410113</v>
      </c>
      <c r="N470" s="497">
        <f t="shared" si="210"/>
        <v>403620</v>
      </c>
      <c r="O470" s="497">
        <f t="shared" ca="1" si="207"/>
        <v>98.416777814894914</v>
      </c>
      <c r="P470" s="497">
        <f t="shared" ca="1" si="208"/>
        <v>98.416777814894914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IFERROR(__xludf.DUMMYFUNCTION("IMPORTRANGE(""https://docs.google.com/spreadsheets/d/1QqKyyYR6Q21VydFLVH3TRQUabQu_ym0Zz7PgGX0-kHA/edit?usp=sharing"",""แผน!FS54"")"),410113)</f>
        <v>410113</v>
      </c>
      <c r="M472" s="93">
        <f ca="1">L472</f>
        <v>410113</v>
      </c>
      <c r="N472" s="93">
        <f>N473+N474+N475+N476</f>
        <v>403620</v>
      </c>
      <c r="O472" s="93">
        <f t="shared" ca="1" si="207"/>
        <v>98.416777814894914</v>
      </c>
      <c r="P472" s="93">
        <f t="shared" ca="1" si="208"/>
        <v>98.416777814894914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65090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314000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6360+1070+17100</f>
        <v>24530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IFERROR(__xludf.DUMMYFUNCTION("IMPORTRANGE(""https://docs.google.com/spreadsheets/d/1QqKyyYR6Q21VydFLVH3TRQUabQu_ym0Zz7PgGX0-kHA/edit?usp=sharing"",""แผน!FZ54"")"),45)</f>
        <v>45</v>
      </c>
      <c r="J485" s="215">
        <v>61</v>
      </c>
      <c r="K485" s="497">
        <f ca="1">IF(I485&gt;0,J485*100/I485,0)</f>
        <v>135.55555555555554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IFERROR(__xludf.DUMMYFUNCTION("IMPORTRANGE(""https://docs.google.com/spreadsheets/d/1QqKyyYR6Q21VydFLVH3TRQUabQu_ym0Zz7PgGX0-kHA/edit?usp=sharing"",""แผน!FY54"")"),450)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IFERROR(__xludf.DUMMYFUNCTION("IMPORTRANGE(""https://docs.google.com/spreadsheets/d/1QqKyyYR6Q21VydFLVH3TRQUabQu_ym0Zz7PgGX0-kHA/edit?usp=sharing"",""แผน!GA54"")"),50)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IFERROR(__xludf.DUMMYFUNCTION("IMPORTRANGE(""https://docs.google.com/spreadsheets/d/1QqKyyYR6Q21VydFLVH3TRQUabQu_ym0Zz7PgGX0-kHA/edit?usp=sharing"",""แผน!GU54"")"),0)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284300</v>
      </c>
      <c r="M544" s="155">
        <f t="shared" ca="1" si="236"/>
        <v>284300</v>
      </c>
      <c r="N544" s="155">
        <f t="shared" si="236"/>
        <v>157942</v>
      </c>
      <c r="O544" s="155">
        <f t="shared" ref="O544:O549" ca="1" si="237">IF(L544&gt;0,N544*100/L544,0)</f>
        <v>55.554695743932463</v>
      </c>
      <c r="P544" s="155">
        <f t="shared" ref="P544:P549" ca="1" si="238">IF(M544&gt;0,N544*100/M544,0)</f>
        <v>55.554695743932463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284300</v>
      </c>
      <c r="M546" s="93">
        <f t="shared" ca="1" si="240"/>
        <v>284300</v>
      </c>
      <c r="N546" s="93">
        <f t="shared" si="240"/>
        <v>157942</v>
      </c>
      <c r="O546" s="93">
        <f t="shared" ca="1" si="237"/>
        <v>55.554695743932463</v>
      </c>
      <c r="P546" s="93">
        <f t="shared" ca="1" si="238"/>
        <v>55.554695743932463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284300</v>
      </c>
      <c r="M547" s="497">
        <f t="shared" ca="1" si="241"/>
        <v>284300</v>
      </c>
      <c r="N547" s="497">
        <f t="shared" si="241"/>
        <v>157942</v>
      </c>
      <c r="O547" s="497">
        <f t="shared" ca="1" si="237"/>
        <v>55.554695743932463</v>
      </c>
      <c r="P547" s="497">
        <f t="shared" ca="1" si="238"/>
        <v>55.554695743932463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IFERROR(__xludf.DUMMYFUNCTION("IMPORTRANGE(""https://docs.google.com/spreadsheets/d/1QqKyyYR6Q21VydFLVH3TRQUabQu_ym0Zz7PgGX0-kHA/edit?usp=sharing"",""แผน!HB54"")"),284300)</f>
        <v>284300</v>
      </c>
      <c r="M549" s="93">
        <f ca="1">L549</f>
        <v>284300</v>
      </c>
      <c r="N549" s="93">
        <f>N550+N551+N552+N553+N554</f>
        <v>157942</v>
      </c>
      <c r="O549" s="93">
        <f t="shared" ca="1" si="237"/>
        <v>55.554695743932463</v>
      </c>
      <c r="P549" s="93">
        <f t="shared" ca="1" si="238"/>
        <v>55.554695743932463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92302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19240+2660+6650+17821+18800+469</f>
        <v>65640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IFERROR(__xludf.DUMMYFUNCTION("IMPORTRANGE(""https://docs.google.com/spreadsheets/d/1QqKyyYR6Q21VydFLVH3TRQUabQu_ym0Zz7PgGX0-kHA/edit?usp=sharing"",""แผน!HH54"")"),0)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IFERROR(__xludf.DUMMYFUNCTION("IMPORTRANGE(""https://docs.google.com/spreadsheets/d/1QqKyyYR6Q21VydFLVH3TRQUabQu_ym0Zz7PgGX0-kHA/edit?usp=sharing"",""แผน!HG54"")"),0)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IFERROR(__xludf.DUMMYFUNCTION("IMPORTRANGE(""https://docs.google.com/spreadsheets/d/1QqKyyYR6Q21VydFLVH3TRQUabQu_ym0Zz7PgGX0-kHA/edit?usp=sharing"",""แผน!HH54"")"),0)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IFERROR(__xludf.DUMMYFUNCTION("IMPORTRANGE(""https://docs.google.com/spreadsheets/d/1QqKyyYR6Q21VydFLVH3TRQUabQu_ym0Zz7PgGX0-kHA/edit?usp=sharing"",""แผน!HG54"")"),0)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IFERROR(__xludf.DUMMYFUNCTION("IMPORTRANGE(""https://docs.google.com/spreadsheets/d/1QqKyyYR6Q21VydFLVH3TRQUabQu_ym0Zz7PgGX0-kHA/edit?usp=sharing"",""แผน!HH54"")"),0)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IFERROR(__xludf.DUMMYFUNCTION("IMPORTRANGE(""https://docs.google.com/spreadsheets/d/1QqKyyYR6Q21VydFLVH3TRQUabQu_ym0Zz7PgGX0-kHA/edit?usp=sharing"",""แผน!HG54"")"),0)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3092.89</v>
      </c>
      <c r="J592" s="703">
        <f t="shared" si="253"/>
        <v>3054</v>
      </c>
      <c r="K592" s="672">
        <f t="shared" ref="K592:K594" ca="1" si="254">IF(I592&gt;0,J592*100/I592,0)</f>
        <v>98.742599963141274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IFERROR(__xludf.DUMMYFUNCTION("IMPORTRANGE(""https://docs.google.com/spreadsheets/d/1QqKyyYR6Q21VydFLVH3TRQUabQu_ym0Zz7PgGX0-kHA/edit?usp=sharing"",""แผน!HJ54"")"),3092.89)</f>
        <v>3092.89</v>
      </c>
      <c r="J593" s="193">
        <f t="shared" ref="J593:J594" si="255">J595+J603+J609</f>
        <v>3054</v>
      </c>
      <c r="K593" s="411">
        <f t="shared" ca="1" si="254"/>
        <v>98.742599963141274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IFERROR(__xludf.DUMMYFUNCTION("IMPORTRANGE(""https://docs.google.com/spreadsheets/d/1QqKyyYR6Q21VydFLVH3TRQUabQu_ym0Zz7PgGX0-kHA/edit?usp=sharing"",""แผน!HI54"")"),241)</f>
        <v>241</v>
      </c>
      <c r="J594" s="193">
        <f t="shared" si="255"/>
        <v>241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2940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231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2940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231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103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103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11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IFERROR(__xludf.DUMMYFUNCTION("IMPORTRANGE(""https://docs.google.com/spreadsheets/d/1QqKyyYR6Q21VydFLVH3TRQUabQu_ym0Zz7PgGX0-kHA/edit?usp=sharing"",""แผน!HL54"")"),0)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IFERROR(__xludf.DUMMYFUNCTION("IMPORTRANGE(""https://docs.google.com/spreadsheets/d/1QqKyyYR6Q21VydFLVH3TRQUabQu_ym0Zz7PgGX0-kHA/edit?usp=sharing"",""แผน!HK54"")"),0)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IFERROR(__xludf.DUMMYFUNCTION("IMPORTRANGE(""https://docs.google.com/spreadsheets/d/1QqKyyYR6Q21VydFLVH3TRQUabQu_ym0Zz7PgGX0-kHA/edit?usp=sharing"",""แผน!HN54"")"),0)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IFERROR(__xludf.DUMMYFUNCTION("IMPORTRANGE(""https://docs.google.com/spreadsheets/d/1XWAQStnk-4SwqDmLtmXYiTMKHgktTP8We1SCoS47DrQ/edit?usp=sharing"",""จัดที่ดิน!AS54"")"),1)</f>
        <v>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IFERROR(__xludf.DUMMYFUNCTION("IMPORTRANGE(""https://docs.google.com/spreadsheets/d/1XWAQStnk-4SwqDmLtmXYiTMKHgktTP8We1SCoS47DrQ/edit?usp=sharing"",""จัดที่ดิน!AT54"")"),1.05)</f>
        <v>1.05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IFERROR(__xludf.DUMMYFUNCTION("IMPORTRANGE(""https://docs.google.com/spreadsheets/d/1QqKyyYR6Q21VydFLVH3TRQUabQu_ym0Zz7PgGX0-kHA/edit?usp=sharing"",""แผน!HS54"")"),0)</f>
        <v>0</v>
      </c>
      <c r="J647" s="270">
        <f ca="1">IFERROR(__xludf.DUMMYFUNCTION("IMPORTRANGE(""https://docs.google.com/spreadsheets/d/1XWAQStnk-4SwqDmLtmXYiTMKHgktTP8We1SCoS47DrQ/edit?usp=sharing"",""จัดที่ดิน!AU54"")"),2)</f>
        <v>2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IFERROR(__xludf.DUMMYFUNCTION("IMPORTRANGE(""https://docs.google.com/spreadsheets/d/1XWAQStnk-4SwqDmLtmXYiTMKHgktTP8We1SCoS47DrQ/edit?usp=sharing"",""จัดที่ดิน!AV54"")"),15.66)</f>
        <v>15.66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IFERROR(__xludf.DUMMYFUNCTION("IMPORTRANGE(""https://docs.google.com/spreadsheets/d/1QqKyyYR6Q21VydFLVH3TRQUabQu_ym0Zz7PgGX0-kHA/edit?usp=sharing"",""แผน!HS54"")"),0)</f>
        <v>0</v>
      </c>
      <c r="J649" s="270">
        <f ca="1">IFERROR(__xludf.DUMMYFUNCTION("IMPORTRANGE(""https://docs.google.com/spreadsheets/d/1XWAQStnk-4SwqDmLtmXYiTMKHgktTP8We1SCoS47DrQ/edit?usp=sharing"",""จัดที่ดิน!AW54"")"),1)</f>
        <v>1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IFERROR(__xludf.DUMMYFUNCTION("IMPORTRANGE(""https://docs.google.com/spreadsheets/d/1XWAQStnk-4SwqDmLtmXYiTMKHgktTP8We1SCoS47DrQ/edit?usp=sharing"",""จัดที่ดิน!AX54"")"),14.61)</f>
        <v>14.61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IFERROR(__xludf.DUMMYFUNCTION("IMPORTRANGE(""https://docs.google.com/spreadsheets/d/1QqKyyYR6Q21VydFLVH3TRQUabQu_ym0Zz7PgGX0-kHA/edit?usp=sharing"",""แผน!HS54"")"),0)</f>
        <v>0</v>
      </c>
      <c r="J651" s="270">
        <f ca="1">IFERROR(__xludf.DUMMYFUNCTION("IMPORTRANGE(""https://docs.google.com/spreadsheets/d/1XWAQStnk-4SwqDmLtmXYiTMKHgktTP8We1SCoS47DrQ/edit?usp=sharing"",""จัดที่ดิน!AY54"")"),0)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IFERROR(__xludf.DUMMYFUNCTION("IMPORTRANGE(""https://docs.google.com/spreadsheets/d/1XWAQStnk-4SwqDmLtmXYiTMKHgktTP8We1SCoS47DrQ/edit?usp=sharing"",""จัดที่ดิน!AZ54"")"),0)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4269</v>
      </c>
      <c r="O655" s="195">
        <f t="shared" ref="O655:O660" ca="1" si="274">IF(L655&gt;0,N655*100/L655,0)</f>
        <v>45.414893617021278</v>
      </c>
      <c r="P655" s="195">
        <f t="shared" ref="P655:P660" ca="1" si="275">IF(M655&gt;0,N655*100/M655,0)</f>
        <v>45.414893617021278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4269</v>
      </c>
      <c r="O657" s="93">
        <f t="shared" ca="1" si="274"/>
        <v>45.414893617021278</v>
      </c>
      <c r="P657" s="93">
        <f t="shared" ca="1" si="275"/>
        <v>45.414893617021278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4269</v>
      </c>
      <c r="O658" s="497">
        <f t="shared" ca="1" si="274"/>
        <v>45.414893617021278</v>
      </c>
      <c r="P658" s="497">
        <f t="shared" ca="1" si="275"/>
        <v>45.414893617021278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IFERROR(__xludf.DUMMYFUNCTION("IMPORTRANGE(""https://docs.google.com/spreadsheets/d/1QqKyyYR6Q21VydFLVH3TRQUabQu_ym0Zz7PgGX0-kHA/edit?usp=sharing"",""แผน!HV54"")"),9400)</f>
        <v>9400</v>
      </c>
      <c r="M660" s="93">
        <f ca="1">L660</f>
        <v>9400</v>
      </c>
      <c r="N660" s="93">
        <f>N661+N662+N663+N664</f>
        <v>4269</v>
      </c>
      <c r="O660" s="93">
        <f t="shared" ca="1" si="274"/>
        <v>45.414893617021278</v>
      </c>
      <c r="P660" s="93">
        <f t="shared" ca="1" si="275"/>
        <v>45.414893617021278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4269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IFERROR(__xludf.DUMMYFUNCTION("IMPORTRANGE(""https://docs.google.com/spreadsheets/d/1QqKyyYR6Q21VydFLVH3TRQUabQu_ym0Zz7PgGX0-kHA/edit?usp=sharing"",""แผน!IA54"")"),50)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IFERROR(__xludf.DUMMYFUNCTION("IMPORTRANGE(""https://docs.google.com/spreadsheets/d/1QqKyyYR6Q21VydFLVH3TRQUabQu_ym0Zz7PgGX0-kHA/edit?usp=sharing"",""แผน!HZ54"")"),4)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IFERROR(__xludf.DUMMYFUNCTION("IMPORTRANGE(""https://docs.google.com/spreadsheets/d/1QqKyyYR6Q21VydFLVH3TRQUabQu_ym0Zz7PgGX0-kHA/edit?usp=sharing"",""แผน!HZ54"")"),4)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181</v>
      </c>
      <c r="K672" s="497">
        <f t="shared" ref="K672:K675" ca="1" si="281">IF(I$669&gt;0,J672*100/I$669,0)</f>
        <v>362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IFERROR(__xludf.DUMMYFUNCTION("IMPORTRANGE(""https://docs.google.com/spreadsheets/d/1QqKyyYR6Q21VydFLVH3TRQUabQu_ym0Zz7PgGX0-kHA/edit?usp=sharing"",""แผน!IB54"")"),0)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27360</v>
      </c>
      <c r="M685" s="195">
        <f t="shared" ca="1" si="282"/>
        <v>27360</v>
      </c>
      <c r="N685" s="195">
        <f t="shared" si="282"/>
        <v>3565</v>
      </c>
      <c r="O685" s="195">
        <f t="shared" ref="O685:O688" ca="1" si="283">IF(L685&gt;0,N685*100/L685,0)</f>
        <v>13.029970760233919</v>
      </c>
      <c r="P685" s="195">
        <f t="shared" ref="P685:P688" ca="1" si="284">IF(M685&gt;0,N685*100/M685,0)</f>
        <v>13.029970760233919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27360</v>
      </c>
      <c r="M687" s="93">
        <f t="shared" ca="1" si="285"/>
        <v>27360</v>
      </c>
      <c r="N687" s="93">
        <f t="shared" si="285"/>
        <v>3565</v>
      </c>
      <c r="O687" s="93">
        <f t="shared" ca="1" si="283"/>
        <v>13.029970760233919</v>
      </c>
      <c r="P687" s="93">
        <f t="shared" ca="1" si="284"/>
        <v>13.029970760233919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27360</v>
      </c>
      <c r="M688" s="497">
        <f t="shared" ca="1" si="286"/>
        <v>27360</v>
      </c>
      <c r="N688" s="497">
        <f t="shared" si="286"/>
        <v>3565</v>
      </c>
      <c r="O688" s="497">
        <f t="shared" ca="1" si="283"/>
        <v>13.029970760233919</v>
      </c>
      <c r="P688" s="497">
        <f t="shared" ca="1" si="284"/>
        <v>13.029970760233919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IFERROR(__xludf.DUMMYFUNCTION("IMPORTRANGE(""https://docs.google.com/spreadsheets/d/1QqKyyYR6Q21VydFLVH3TRQUabQu_ym0Zz7PgGX0-kHA/edit?usp=sharing"",""แผน!HW54"")"),27360)</f>
        <v>27360</v>
      </c>
      <c r="M690" s="93">
        <f ca="1">L690</f>
        <v>27360</v>
      </c>
      <c r="N690" s="93">
        <f>N691+N692+N693+N694</f>
        <v>3565</v>
      </c>
      <c r="O690" s="93">
        <f ca="1">IF(L690&gt;0,N690*100/L690,0)</f>
        <v>13.029970760233919</v>
      </c>
      <c r="P690" s="93">
        <f ca="1">IF(M690&gt;0,N690*100/M690,0)</f>
        <v>13.029970760233919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3565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IFERROR(__xludf.DUMMYFUNCTION("IMPORTRANGE(""https://docs.google.com/spreadsheets/d/1QqKyyYR6Q21VydFLVH3TRQUabQu_ym0Zz7PgGX0-kHA/edit?usp=sharing"",""แผน!IC54"")"),10)</f>
        <v>10</v>
      </c>
      <c r="J699" s="270">
        <f ca="1">IFERROR(__xludf.DUMMYFUNCTION("IMPORTRANGE(""https://docs.google.com/spreadsheets/d/1XWAQStnk-4SwqDmLtmXYiTMKHgktTP8We1SCoS47DrQ/edit?usp=sharing"",""จัดที่ดิน!BB54"")"),0)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IFERROR(__xludf.DUMMYFUNCTION("IMPORTRANGE(""https://docs.google.com/spreadsheets/d/1QqKyyYR6Q21VydFLVH3TRQUabQu_ym0Zz7PgGX0-kHA/edit?usp=sharing"",""แผน!ID54"")"),2)</f>
        <v>2</v>
      </c>
      <c r="J700" s="270">
        <f ca="1">IFERROR(__xludf.DUMMYFUNCTION("IMPORTRANGE(""https://docs.google.com/spreadsheets/d/1XWAQStnk-4SwqDmLtmXYiTMKHgktTP8We1SCoS47DrQ/edit?usp=sharing"",""จัดที่ดิน!BD54"")"),0)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IFERROR(__xludf.DUMMYFUNCTION("IMPORTRANGE(""https://docs.google.com/spreadsheets/d/1QqKyyYR6Q21VydFLVH3TRQUabQu_ym0Zz7PgGX0-kHA/edit?usp=sharing"",""แผน!IE54"")"),0)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IFERROR(__xludf.DUMMYFUNCTION("IMPORTRANGE(""https://docs.google.com/spreadsheets/d/1QqKyyYR6Q21VydFLVH3TRQUabQu_ym0Zz7PgGX0-kHA/edit?usp=sharing"",""แผน!IH54"")"),1245)</f>
        <v>1245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IFERROR(__xludf.DUMMYFUNCTION("IMPORTRANGE(""https://docs.google.com/spreadsheets/d/1QqKyyYR6Q21VydFLVH3TRQUabQu_ym0Zz7PgGX0-kHA/edit?usp=sharing"",""แผน!II54"")"),0)</f>
        <v>0</v>
      </c>
      <c r="J720" s="270">
        <f ca="1">IFERROR(__xludf.DUMMYFUNCTION("IMPORTRANGE(""https://docs.google.com/spreadsheets/d/1XWAQStnk-4SwqDmLtmXYiTMKHgktTP8We1SCoS47DrQ/edit?usp=sharing"",""จัดที่ดิน!BH54"")"),0)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IFERROR(__xludf.DUMMYFUNCTION("IMPORTRANGE(""https://docs.google.com/spreadsheets/d/1QqKyyYR6Q21VydFLVH3TRQUabQu_ym0Zz7PgGX0-kHA/edit?usp=sharing"",""แผน!IJ54"")"),1)</f>
        <v>1</v>
      </c>
      <c r="J721" s="676">
        <f ca="1">J723+J726</f>
        <v>1</v>
      </c>
      <c r="K721" s="195">
        <f t="shared" ca="1" si="291"/>
        <v>100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IFERROR(__xludf.DUMMYFUNCTION("IMPORTRANGE(""https://docs.google.com/spreadsheets/d/1QqKyyYR6Q21VydFLVH3TRQUabQu_ym0Zz7PgGX0-kHA/edit?usp=sharing"",""แผน!IK54"")"),9)</f>
        <v>9</v>
      </c>
      <c r="J722" s="676">
        <f ca="1">J725+J728</f>
        <v>9.57</v>
      </c>
      <c r="K722" s="195">
        <f t="shared" ca="1" si="291"/>
        <v>106.33333333333333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IFERROR(__xludf.DUMMYFUNCTION("IMPORTRANGE(""https://docs.google.com/spreadsheets/d/1QqKyyYR6Q21VydFLVH3TRQUabQu_ym0Zz7PgGX0-kHA/edit?usp=sharing"",""แผน!IL54"")"),1)</f>
        <v>1</v>
      </c>
      <c r="J723" s="270">
        <f ca="1">IFERROR(__xludf.DUMMYFUNCTION("IMPORTRANGE(""https://docs.google.com/spreadsheets/d/1XWAQStnk-4SwqDmLtmXYiTMKHgktTP8We1SCoS47DrQ/edit?usp=sharing"",""จัดที่ดิน!BM54"")"),1)</f>
        <v>1</v>
      </c>
      <c r="K723" s="497">
        <f t="shared" ca="1" si="291"/>
        <v>100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IFERROR(__xludf.DUMMYFUNCTION("IMPORTRANGE(""https://docs.google.com/spreadsheets/d/1XWAQStnk-4SwqDmLtmXYiTMKHgktTP8We1SCoS47DrQ/edit?usp=sharing"",""จัดที่ดิน!BN54"")"),1)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IFERROR(__xludf.DUMMYFUNCTION("IMPORTRANGE(""https://docs.google.com/spreadsheets/d/1QqKyyYR6Q21VydFLVH3TRQUabQu_ym0Zz7PgGX0-kHA/edit?usp=sharing"",""แผน!IM54"")"),9)</f>
        <v>9</v>
      </c>
      <c r="J725" s="270">
        <f ca="1">IFERROR(__xludf.DUMMYFUNCTION("IMPORTRANGE(""https://docs.google.com/spreadsheets/d/1XWAQStnk-4SwqDmLtmXYiTMKHgktTP8We1SCoS47DrQ/edit?usp=sharing"",""จัดที่ดิน!BO54"")"),9.57)</f>
        <v>9.57</v>
      </c>
      <c r="K725" s="497">
        <f t="shared" ref="K725:K726" ca="1" si="292">IF(I725&gt;0,J725*100/I725,0)</f>
        <v>106.33333333333333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IFERROR(__xludf.DUMMYFUNCTION("IMPORTRANGE(""https://docs.google.com/spreadsheets/d/1QqKyyYR6Q21VydFLVH3TRQUabQu_ym0Zz7PgGX0-kHA/edit?usp=sharing"",""แผน!IN54"")"),0)</f>
        <v>0</v>
      </c>
      <c r="J726" s="270">
        <f ca="1">IFERROR(__xludf.DUMMYFUNCTION("IMPORTRANGE(""https://docs.google.com/spreadsheets/d/1XWAQStnk-4SwqDmLtmXYiTMKHgktTP8We1SCoS47DrQ/edit?usp=sharing"",""จัดที่ดิน!BR54"")"),0)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IFERROR(__xludf.DUMMYFUNCTION("IMPORTRANGE(""https://docs.google.com/spreadsheets/d/1QqKyyYR6Q21VydFLVH3TRQUabQu_ym0Zz7PgGX0-kHA/edit?usp=sharing"",""แผน!IO54"")"),0)</f>
        <v>0</v>
      </c>
      <c r="J728" s="270">
        <f ca="1">IFERROR(__xludf.DUMMYFUNCTION("IMPORTRANGE(""https://docs.google.com/spreadsheets/d/1XWAQStnk-4SwqDmLtmXYiTMKHgktTP8We1SCoS47DrQ/edit?usp=sharing"",""จัดที่ดิน!BT54"")"),0)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IFERROR(__xludf.DUMMYFUNCTION("IMPORTRANGE(""https://docs.google.com/spreadsheets/d/1QqKyyYR6Q21VydFLVH3TRQUabQu_ym0Zz7PgGX0-kHA/edit?usp=sharing"",""แผน!IP54"")"),1)</f>
        <v>1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IFERROR(__xludf.DUMMYFUNCTION("IMPORTRANGE(""https://docs.google.com/spreadsheets/d/1QqKyyYR6Q21VydFLVH3TRQUabQu_ym0Zz7PgGX0-kHA/edit?usp=sharing"",""แผน!JN54"")"),0)</f>
        <v>0</v>
      </c>
      <c r="J800" s="184">
        <f ca="1">IFERROR(__xludf.DUMMYFUNCTION("IMPORTRANGE(""https://docs.google.com/spreadsheets/d/1MaWodYyGHDf7siQLGxnXhG4mBNTNIuy296niS2xXulU/edit?usp=sharing"",""RTK!H54"")"),0)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3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IFERROR(__xludf.DUMMYFUNCTION("IMPORTRANGE(""https://docs.google.com/spreadsheets/d/19vJNZY_5yjcGF2XGBMNZRCAIB0Kwfpjp8YEOfu-bneM/edit?usp=sharing"",""งานกองทุน!D54"")"),6886000)</f>
        <v>6886000</v>
      </c>
      <c r="J821" s="270">
        <f ca="1">IFERROR(__xludf.DUMMYFUNCTION("IMPORTRANGE(""https://docs.google.com/spreadsheets/d/19vJNZY_5yjcGF2XGBMNZRCAIB0Kwfpjp8YEOfu-bneM/edit?usp=sharing"",""งานกองทุน!F54"")"),4605000)</f>
        <v>4605000</v>
      </c>
      <c r="K821" s="497">
        <f t="shared" ref="K821:K828" ca="1" si="335">IF(I821&gt;0,J821*100/I821,0)</f>
        <v>66.874818472262561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IFERROR(__xludf.DUMMYFUNCTION("IMPORTRANGE(""https://docs.google.com/spreadsheets/d/19vJNZY_5yjcGF2XGBMNZRCAIB0Kwfpjp8YEOfu-bneM/edit?usp=sharing"",""งานกองทุน!C54"")"),345)</f>
        <v>345</v>
      </c>
      <c r="J822" s="270">
        <f ca="1">IFERROR(__xludf.DUMMYFUNCTION("IMPORTRANGE(""https://docs.google.com/spreadsheets/d/19vJNZY_5yjcGF2XGBMNZRCAIB0Kwfpjp8YEOfu-bneM/edit?usp=sharing"",""งานกองทุน!E54"")"),232)</f>
        <v>232</v>
      </c>
      <c r="K822" s="497">
        <f t="shared" ca="1" si="335"/>
        <v>67.246376811594203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70">
        <f ca="1">IFERROR(__xludf.DUMMYFUNCTION("IMPORTRANGE(""https://docs.google.com/spreadsheets/d/19vJNZY_5yjcGF2XGBMNZRCAIB0Kwfpjp8YEOfu-bneM/edit?usp=sharing"",""งานกองทุน!K54"")"),1220657.56)</f>
        <v>1220657.56</v>
      </c>
      <c r="K823" s="497">
        <f t="shared" ca="1" si="335"/>
        <v>8.0565804108674541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IFERROR(__xludf.DUMMYFUNCTION("IMPORTRANGE(""https://docs.google.com/spreadsheets/d/19vJNZY_5yjcGF2XGBMNZRCAIB0Kwfpjp8YEOfu-bneM/edit?usp=sharing"",""งานกองทุน!H54"")"),345)</f>
        <v>345</v>
      </c>
      <c r="J824" s="270">
        <f ca="1">IFERROR(__xludf.DUMMYFUNCTION("IMPORTRANGE(""https://docs.google.com/spreadsheets/d/19vJNZY_5yjcGF2XGBMNZRCAIB0Kwfpjp8YEOfu-bneM/edit?usp=sharing"",""งานกองทุน!J54"")"),134)</f>
        <v>134</v>
      </c>
      <c r="K824" s="497">
        <f t="shared" ca="1" si="335"/>
        <v>38.840579710144929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70">
        <f ca="1">IFERROR(__xludf.DUMMYFUNCTION("IMPORTRANGE(""https://docs.google.com/spreadsheets/d/19vJNZY_5yjcGF2XGBMNZRCAIB0Kwfpjp8YEOfu-bneM/edit?usp=sharing"",""งานกองทุน!P54"")"),49875.51)</f>
        <v>49875.51</v>
      </c>
      <c r="K825" s="497">
        <f t="shared" ca="1" si="335"/>
        <v>4.7193212952050763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IFERROR(__xludf.DUMMYFUNCTION("IMPORTRANGE(""https://docs.google.com/spreadsheets/d/19vJNZY_5yjcGF2XGBMNZRCAIB0Kwfpjp8YEOfu-bneM/edit?usp=sharing"",""งานกองทุน!M54"")"),109)</f>
        <v>109</v>
      </c>
      <c r="J826" s="270">
        <f ca="1">IFERROR(__xludf.DUMMYFUNCTION("IMPORTRANGE(""https://docs.google.com/spreadsheets/d/19vJNZY_5yjcGF2XGBMNZRCAIB0Kwfpjp8YEOfu-bneM/edit?usp=sharing"",""งานกองทุน!O54"")"),22)</f>
        <v>22</v>
      </c>
      <c r="K826" s="497">
        <f t="shared" ca="1" si="335"/>
        <v>20.183486238532112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IFERROR(__xludf.DUMMYFUNCTION("IMPORTRANGE(""https://docs.google.com/spreadsheets/d/19vJNZY_5yjcGF2XGBMNZRCAIB0Kwfpjp8YEOfu-bneM/edit?usp=sharing"",""งานกองทุน!S54"")"),13880000)</f>
        <v>13880000</v>
      </c>
      <c r="J827" s="270">
        <f ca="1">IFERROR(__xludf.DUMMYFUNCTION("IMPORTRANGE(""https://docs.google.com/spreadsheets/d/19vJNZY_5yjcGF2XGBMNZRCAIB0Kwfpjp8YEOfu-bneM/edit?usp=sharing"",""งานกองทุน!U54"")"),4000000)</f>
        <v>4000000</v>
      </c>
      <c r="K827" s="497">
        <f t="shared" ca="1" si="335"/>
        <v>28.818443804034583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IFERROR(__xludf.DUMMYFUNCTION("IMPORTRANGE(""https://docs.google.com/spreadsheets/d/19vJNZY_5yjcGF2XGBMNZRCAIB0Kwfpjp8YEOfu-bneM/edit?usp=sharing"",""งานกองทุน!R54"")"),555)</f>
        <v>555</v>
      </c>
      <c r="J828" s="501">
        <f ca="1">IFERROR(__xludf.DUMMYFUNCTION("IMPORTRANGE(""https://docs.google.com/spreadsheets/d/19vJNZY_5yjcGF2XGBMNZRCAIB0Kwfpjp8YEOfu-bneM/edit?usp=sharing"",""งานกองทุน!T54"")"),200)</f>
        <v>200</v>
      </c>
      <c r="K828" s="502">
        <f t="shared" ca="1" si="335"/>
        <v>36.036036036036037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E8A0-9645-4013-A68F-989A5DED3305}">
  <sheetPr codeName="Sheet4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7352203</v>
      </c>
      <c r="M8" s="22">
        <f t="shared" ca="1" si="0"/>
        <v>7427653</v>
      </c>
      <c r="N8" s="22">
        <f t="shared" ca="1" si="0"/>
        <v>6269839.3600000003</v>
      </c>
      <c r="O8" s="22">
        <f t="shared" ref="O8:O16" ca="1" si="1">IF(L8&gt;0,N8*100/L8,0)</f>
        <v>85.278376562779897</v>
      </c>
      <c r="P8" s="22">
        <f t="shared" ref="P8:P16" ca="1" si="2">IF(M8&gt;0,N8*100/M8,0)</f>
        <v>84.412119952291789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7352203</v>
      </c>
      <c r="M10" s="30">
        <f t="shared" ca="1" si="3"/>
        <v>7427653</v>
      </c>
      <c r="N10" s="30">
        <f t="shared" ca="1" si="3"/>
        <v>6269839.3600000003</v>
      </c>
      <c r="O10" s="30">
        <f t="shared" ca="1" si="1"/>
        <v>85.278376562779897</v>
      </c>
      <c r="P10" s="30">
        <f t="shared" ca="1" si="2"/>
        <v>84.412119952291789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5858603</v>
      </c>
      <c r="M11" s="497">
        <f t="shared" ca="1" si="4"/>
        <v>6001053</v>
      </c>
      <c r="N11" s="497">
        <f t="shared" ca="1" si="4"/>
        <v>4843239.3600000003</v>
      </c>
      <c r="O11" s="497">
        <f t="shared" ca="1" si="1"/>
        <v>82.668843749952003</v>
      </c>
      <c r="P11" s="497">
        <f t="shared" ca="1" si="2"/>
        <v>80.706492010652141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5858603</v>
      </c>
      <c r="M13" s="93">
        <f t="shared" ca="1" si="5"/>
        <v>6001053</v>
      </c>
      <c r="N13" s="93">
        <f t="shared" ca="1" si="5"/>
        <v>4843239.3600000003</v>
      </c>
      <c r="O13" s="93">
        <f t="shared" ca="1" si="1"/>
        <v>82.668843749952003</v>
      </c>
      <c r="P13" s="93">
        <f t="shared" ca="1" si="2"/>
        <v>80.706492010652141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1493600</v>
      </c>
      <c r="M14" s="497">
        <f t="shared" ca="1" si="6"/>
        <v>1426600</v>
      </c>
      <c r="N14" s="497">
        <f t="shared" ca="1" si="6"/>
        <v>1426600</v>
      </c>
      <c r="O14" s="497">
        <f t="shared" ca="1" si="1"/>
        <v>95.514193893947507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1493600</v>
      </c>
      <c r="M16" s="52">
        <f t="shared" ca="1" si="7"/>
        <v>1426600</v>
      </c>
      <c r="N16" s="52">
        <f t="shared" ca="1" si="7"/>
        <v>1426600</v>
      </c>
      <c r="O16" s="52">
        <f t="shared" ca="1" si="1"/>
        <v>95.514193893947507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5413505</v>
      </c>
      <c r="M18" s="22">
        <f t="shared" ca="1" si="8"/>
        <v>5488955</v>
      </c>
      <c r="N18" s="22">
        <f t="shared" ca="1" si="8"/>
        <v>4864835.6100000003</v>
      </c>
      <c r="O18" s="22">
        <f t="shared" ref="O18:O26" ca="1" si="9">IF(L18&gt;0,N18*100/L18,0)</f>
        <v>89.864803117388831</v>
      </c>
      <c r="P18" s="22">
        <f t="shared" ref="P18:P26" ca="1" si="10">IF(M18&gt;0,N18*100/M18,0)</f>
        <v>88.62954077779834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5413505</v>
      </c>
      <c r="M20" s="30">
        <f t="shared" ca="1" si="11"/>
        <v>5488955</v>
      </c>
      <c r="N20" s="30">
        <f t="shared" ca="1" si="11"/>
        <v>4864835.6100000003</v>
      </c>
      <c r="O20" s="30">
        <f t="shared" ca="1" si="9"/>
        <v>89.864803117388831</v>
      </c>
      <c r="P20" s="30">
        <f t="shared" ca="1" si="10"/>
        <v>88.62954077779834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3919905</v>
      </c>
      <c r="M21" s="497">
        <f t="shared" ca="1" si="12"/>
        <v>4062355</v>
      </c>
      <c r="N21" s="497">
        <f t="shared" ca="1" si="12"/>
        <v>3438235.6100000003</v>
      </c>
      <c r="O21" s="497">
        <f t="shared" ca="1" si="9"/>
        <v>87.712217770583734</v>
      </c>
      <c r="P21" s="497">
        <f t="shared" ca="1" si="10"/>
        <v>84.636512810918802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3919905</v>
      </c>
      <c r="M23" s="93">
        <f t="shared" ca="1" si="13"/>
        <v>4062355</v>
      </c>
      <c r="N23" s="93">
        <f t="shared" ca="1" si="13"/>
        <v>3438235.6100000003</v>
      </c>
      <c r="O23" s="93">
        <f t="shared" ca="1" si="9"/>
        <v>87.712217770583734</v>
      </c>
      <c r="P23" s="93">
        <f t="shared" ca="1" si="10"/>
        <v>84.636512810918802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1493600</v>
      </c>
      <c r="M24" s="497">
        <f t="shared" ca="1" si="14"/>
        <v>1426600</v>
      </c>
      <c r="N24" s="497">
        <f t="shared" ca="1" si="14"/>
        <v>1426600</v>
      </c>
      <c r="O24" s="497">
        <f t="shared" ca="1" si="9"/>
        <v>95.514193893947507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1493600</v>
      </c>
      <c r="M26" s="52">
        <f t="shared" ca="1" si="15"/>
        <v>1426600</v>
      </c>
      <c r="N26" s="52">
        <f t="shared" ca="1" si="15"/>
        <v>1426600</v>
      </c>
      <c r="O26" s="52">
        <f t="shared" ca="1" si="9"/>
        <v>95.514193893947507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1938698</v>
      </c>
      <c r="M28" s="22">
        <f t="shared" ca="1" si="16"/>
        <v>1938698</v>
      </c>
      <c r="N28" s="22">
        <f t="shared" si="16"/>
        <v>1405003.75</v>
      </c>
      <c r="O28" s="22">
        <f t="shared" ref="O28:O37" ca="1" si="17">IF(L28&gt;0,N28*100/L28,0)</f>
        <v>72.471511808440511</v>
      </c>
      <c r="P28" s="22">
        <f t="shared" ref="P28:P37" ca="1" si="18">IF(M28&gt;0,N28*100/M28,0)</f>
        <v>72.471511808440511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1938698</v>
      </c>
      <c r="M30" s="30">
        <f t="shared" ca="1" si="19"/>
        <v>1938698</v>
      </c>
      <c r="N30" s="30">
        <f t="shared" si="19"/>
        <v>1405003.75</v>
      </c>
      <c r="O30" s="30">
        <f t="shared" ca="1" si="17"/>
        <v>72.471511808440511</v>
      </c>
      <c r="P30" s="30">
        <f t="shared" ca="1" si="18"/>
        <v>72.471511808440511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1938698</v>
      </c>
      <c r="M31" s="497">
        <f t="shared" ca="1" si="20"/>
        <v>1938698</v>
      </c>
      <c r="N31" s="497">
        <f t="shared" si="20"/>
        <v>1405003.75</v>
      </c>
      <c r="O31" s="497">
        <f t="shared" ca="1" si="17"/>
        <v>72.471511808440511</v>
      </c>
      <c r="P31" s="497">
        <f t="shared" ca="1" si="18"/>
        <v>72.471511808440511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1938698</v>
      </c>
      <c r="M33" s="93">
        <f t="shared" ca="1" si="21"/>
        <v>1938698</v>
      </c>
      <c r="N33" s="93">
        <f t="shared" si="21"/>
        <v>1405003.75</v>
      </c>
      <c r="O33" s="93">
        <f t="shared" ca="1" si="17"/>
        <v>72.471511808440511</v>
      </c>
      <c r="P33" s="93">
        <f t="shared" ca="1" si="18"/>
        <v>72.471511808440511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5413505</v>
      </c>
      <c r="M37" s="59">
        <f t="shared" ca="1" si="24"/>
        <v>5488955</v>
      </c>
      <c r="N37" s="59">
        <f t="shared" ca="1" si="24"/>
        <v>4864835.6100000003</v>
      </c>
      <c r="O37" s="59">
        <f t="shared" ca="1" si="17"/>
        <v>89.864803117388831</v>
      </c>
      <c r="P37" s="59">
        <f t="shared" ca="1" si="18"/>
        <v>88.62954077779834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536750</v>
      </c>
      <c r="M41" s="85">
        <f t="shared" ca="1" si="25"/>
        <v>572900</v>
      </c>
      <c r="N41" s="85">
        <f t="shared" ca="1" si="25"/>
        <v>556527.35</v>
      </c>
      <c r="O41" s="85">
        <f t="shared" ref="O41:O49" ca="1" si="26">IF(L41&gt;0,N41*100/L41,0)</f>
        <v>103.68464834653004</v>
      </c>
      <c r="P41" s="85">
        <f t="shared" ref="P41:P49" ca="1" si="27">IF(M41&gt;0,N41*100/M41,0)</f>
        <v>97.142145226042942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536750</v>
      </c>
      <c r="M43" s="92">
        <f t="shared" ca="1" si="28"/>
        <v>572900</v>
      </c>
      <c r="N43" s="92">
        <f t="shared" ca="1" si="28"/>
        <v>556527.35</v>
      </c>
      <c r="O43" s="92">
        <f t="shared" ca="1" si="26"/>
        <v>103.68464834653004</v>
      </c>
      <c r="P43" s="92">
        <f t="shared" ca="1" si="27"/>
        <v>97.142145226042942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536750</v>
      </c>
      <c r="M44" s="497">
        <f t="shared" ca="1" si="29"/>
        <v>572900</v>
      </c>
      <c r="N44" s="497">
        <f t="shared" ca="1" si="29"/>
        <v>556527.35</v>
      </c>
      <c r="O44" s="497">
        <f t="shared" ca="1" si="26"/>
        <v>103.68464834653004</v>
      </c>
      <c r="P44" s="497">
        <f t="shared" ca="1" si="27"/>
        <v>97.142145226042942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IFERROR(__xludf.DUMMYFUNCTION("IMPORTRANGE(""https://docs.google.com/spreadsheets/d/1MeEWN-I1oV_STSDYn1IFDPWt_1FKiwhDph83XaGc0o0/edit?usp=sharing"",""งบพรบ!M55"")"),536750)</f>
        <v>536750</v>
      </c>
      <c r="M46" s="93">
        <f ca="1">IFERROR(__xludf.DUMMYFUNCTION("IMPORTRANGE(""https://docs.google.com/spreadsheets/d/1MeEWN-I1oV_STSDYn1IFDPWt_1FKiwhDph83XaGc0o0/edit?usp=sharing"",""งบพรบ!R55"")"),572900)</f>
        <v>572900</v>
      </c>
      <c r="N46" s="93">
        <f ca="1">IFERROR(__xludf.DUMMYFUNCTION("IMPORTRANGE(""https://docs.google.com/spreadsheets/d/1MeEWN-I1oV_STSDYn1IFDPWt_1FKiwhDph83XaGc0o0/edit?usp=sharing"",""งบพรบ!T55"")"),556527.35)</f>
        <v>556527.35</v>
      </c>
      <c r="O46" s="93">
        <f t="shared" ca="1" si="26"/>
        <v>103.68464834653004</v>
      </c>
      <c r="P46" s="93">
        <f t="shared" ca="1" si="27"/>
        <v>97.142145226042942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IFERROR(__xludf.DUMMYFUNCTION("IMPORTRANGE(""https://docs.google.com/spreadsheets/d/1MeEWN-I1oV_STSDYn1IFDPWt_1FKiwhDph83XaGc0o0/edit?usp=sharing"",""งบพรบ!P55"")"),0)</f>
        <v>0</v>
      </c>
      <c r="M49" s="52">
        <f ca="1">IFERROR(__xludf.DUMMYFUNCTION("IMPORTRANGE(""https://docs.google.com/spreadsheets/d/1MeEWN-I1oV_STSDYn1IFDPWt_1FKiwhDph83XaGc0o0/edit?usp=sharing"",""งบพรบ!S55"")"),0)</f>
        <v>0</v>
      </c>
      <c r="N49" s="52">
        <f ca="1">IFERROR(__xludf.DUMMYFUNCTION("IMPORTRANGE(""https://docs.google.com/spreadsheets/d/1MeEWN-I1oV_STSDYn1IFDPWt_1FKiwhDph83XaGc0o0/edit?usp=sharing"",""งบพรบ!U55"")"),0)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1117500</v>
      </c>
      <c r="M53" s="116">
        <f t="shared" ca="1" si="31"/>
        <v>1118200</v>
      </c>
      <c r="N53" s="116">
        <f t="shared" ca="1" si="31"/>
        <v>989898.84</v>
      </c>
      <c r="O53" s="116">
        <f t="shared" ref="O53:O61" ca="1" si="32">IF(L53&gt;0,N53*100/L53,0)</f>
        <v>88.581551677852346</v>
      </c>
      <c r="P53" s="116">
        <f t="shared" ref="P53:P61" ca="1" si="33">IF(M53&gt;0,N53*100/M53,0)</f>
        <v>88.526099087819716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1117500</v>
      </c>
      <c r="M55" s="123">
        <f t="shared" ca="1" si="34"/>
        <v>1118200</v>
      </c>
      <c r="N55" s="123">
        <f t="shared" ca="1" si="34"/>
        <v>989898.84</v>
      </c>
      <c r="O55" s="123">
        <f t="shared" ca="1" si="32"/>
        <v>88.581551677852346</v>
      </c>
      <c r="P55" s="123">
        <f t="shared" ca="1" si="33"/>
        <v>88.526099087819716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928700</v>
      </c>
      <c r="M56" s="497">
        <f t="shared" ca="1" si="35"/>
        <v>929400</v>
      </c>
      <c r="N56" s="497">
        <f t="shared" ca="1" si="35"/>
        <v>801098.84</v>
      </c>
      <c r="O56" s="497">
        <f t="shared" ca="1" si="32"/>
        <v>86.260239043824697</v>
      </c>
      <c r="P56" s="497">
        <f t="shared" ca="1" si="33"/>
        <v>86.19527006670971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IFERROR(__xludf.DUMMYFUNCTION("IMPORTRANGE(""https://docs.google.com/spreadsheets/d/1MeEWN-I1oV_STSDYn1IFDPWt_1FKiwhDph83XaGc0o0/edit?usp=sharing"",""งบพรบ!W55"")"),928700)</f>
        <v>928700</v>
      </c>
      <c r="M58" s="93">
        <f ca="1">IFERROR(__xludf.DUMMYFUNCTION("IMPORTRANGE(""https://docs.google.com/spreadsheets/d/1MeEWN-I1oV_STSDYn1IFDPWt_1FKiwhDph83XaGc0o0/edit?usp=sharing"",""งบพรบ!AB55"")"),929400)</f>
        <v>929400</v>
      </c>
      <c r="N58" s="93">
        <f ca="1">IFERROR(__xludf.DUMMYFUNCTION("IMPORTRANGE(""https://docs.google.com/spreadsheets/d/1MeEWN-I1oV_STSDYn1IFDPWt_1FKiwhDph83XaGc0o0/edit?usp=sharing"",""งบพรบ!AD55"")"),801098.84)</f>
        <v>801098.84</v>
      </c>
      <c r="O58" s="93">
        <f t="shared" ca="1" si="32"/>
        <v>86.260239043824697</v>
      </c>
      <c r="P58" s="93">
        <f t="shared" ca="1" si="33"/>
        <v>86.19527006670971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188800</v>
      </c>
      <c r="M59" s="497">
        <f t="shared" ca="1" si="36"/>
        <v>188800</v>
      </c>
      <c r="N59" s="497">
        <f t="shared" ca="1" si="36"/>
        <v>188800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IFERROR(__xludf.DUMMYFUNCTION("IMPORTRANGE(""https://docs.google.com/spreadsheets/d/1MeEWN-I1oV_STSDYn1IFDPWt_1FKiwhDph83XaGc0o0/edit?usp=sharing"",""งบพรบ!Z55"")"),188800)</f>
        <v>188800</v>
      </c>
      <c r="M61" s="52">
        <f ca="1">IFERROR(__xludf.DUMMYFUNCTION("IMPORTRANGE(""https://docs.google.com/spreadsheets/d/1MeEWN-I1oV_STSDYn1IFDPWt_1FKiwhDph83XaGc0o0/edit?usp=sharing"",""งบพรบ!AC55"")"),188800)</f>
        <v>188800</v>
      </c>
      <c r="N61" s="52">
        <f ca="1">IFERROR(__xludf.DUMMYFUNCTION("IMPORTRANGE(""https://docs.google.com/spreadsheets/d/1MeEWN-I1oV_STSDYn1IFDPWt_1FKiwhDph83XaGc0o0/edit?usp=sharing"",""งบพรบ!AE55"")"),188800)</f>
        <v>188800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IFERROR(__xludf.DUMMYFUNCTION("IMPORTRANGE(""https://docs.google.com/spreadsheets/d/1MeEWN-I1oV_STSDYn1IFDPWt_1FKiwhDph83XaGc0o0/edit?usp=sharing"",""งบพรบ!AG55"")"),0)</f>
        <v>0</v>
      </c>
      <c r="M71" s="93">
        <f ca="1">IFERROR(__xludf.DUMMYFUNCTION("IMPORTRANGE(""https://docs.google.com/spreadsheets/d/1MeEWN-I1oV_STSDYn1IFDPWt_1FKiwhDph83XaGc0o0/edit?usp=sharing"",""งบพรบ!AL55"")"),0)</f>
        <v>0</v>
      </c>
      <c r="N71" s="93">
        <f ca="1">IFERROR(__xludf.DUMMYFUNCTION("IMPORTRANGE(""https://docs.google.com/spreadsheets/d/1MeEWN-I1oV_STSDYn1IFDPWt_1FKiwhDph83XaGc0o0/edit?usp=sharing"",""งบพรบ!AN55"")"),0)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IFERROR(__xludf.DUMMYFUNCTION("IMPORTRANGE(""https://docs.google.com/spreadsheets/d/1MeEWN-I1oV_STSDYn1IFDPWt_1FKiwhDph83XaGc0o0/edit?usp=sharing"",""งบพรบ!AJ55"")"),0)</f>
        <v>0</v>
      </c>
      <c r="M74" s="93">
        <f ca="1">IFERROR(__xludf.DUMMYFUNCTION("IMPORTRANGE(""https://docs.google.com/spreadsheets/d/1MeEWN-I1oV_STSDYn1IFDPWt_1FKiwhDph83XaGc0o0/edit?usp=sharing"",""งบพรบ!AM55"")"),0)</f>
        <v>0</v>
      </c>
      <c r="N74" s="93">
        <f ca="1">IFERROR(__xludf.DUMMYFUNCTION("IMPORTRANGE(""https://docs.google.com/spreadsheets/d/1MeEWN-I1oV_STSDYn1IFDPWt_1FKiwhDph83XaGc0o0/edit?usp=sharing"",""งบพรบ!AO55"")"),0)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49830</v>
      </c>
      <c r="O88" s="155">
        <f t="shared" ref="O88:O96" ca="1" si="50">IF(L88&gt;0,N88*100/L88,0)</f>
        <v>58.049860205032616</v>
      </c>
      <c r="P88" s="155">
        <f t="shared" ref="P88:P96" ca="1" si="51">IF(M88&gt;0,N88*100/M88,0)</f>
        <v>58.049860205032616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49830</v>
      </c>
      <c r="O90" s="93">
        <f t="shared" ca="1" si="50"/>
        <v>58.049860205032616</v>
      </c>
      <c r="P90" s="93">
        <f t="shared" ca="1" si="51"/>
        <v>58.049860205032616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49830</v>
      </c>
      <c r="O91" s="497">
        <f t="shared" ca="1" si="50"/>
        <v>58.049860205032616</v>
      </c>
      <c r="P91" s="497">
        <f t="shared" ca="1" si="51"/>
        <v>58.049860205032616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IFERROR(__xludf.DUMMYFUNCTION("IMPORTRANGE(""https://docs.google.com/spreadsheets/d/1MeEWN-I1oV_STSDYn1IFDPWt_1FKiwhDph83XaGc0o0/edit?usp=sharing"",""งบพรบ!AQ55"")"),85840)</f>
        <v>85840</v>
      </c>
      <c r="M93" s="93">
        <f ca="1">IFERROR(__xludf.DUMMYFUNCTION("IMPORTRANGE(""https://docs.google.com/spreadsheets/d/1MeEWN-I1oV_STSDYn1IFDPWt_1FKiwhDph83XaGc0o0/edit?usp=sharing"",""งบพรบ!AV55"")"),85840)</f>
        <v>85840</v>
      </c>
      <c r="N93" s="93">
        <f ca="1">IFERROR(__xludf.DUMMYFUNCTION("IMPORTRANGE(""https://docs.google.com/spreadsheets/d/1MeEWN-I1oV_STSDYn1IFDPWt_1FKiwhDph83XaGc0o0/edit?usp=sharing"",""งบพรบ!AX55"")"),49830)</f>
        <v>49830</v>
      </c>
      <c r="O93" s="93">
        <f t="shared" ca="1" si="50"/>
        <v>58.049860205032616</v>
      </c>
      <c r="P93" s="93">
        <f t="shared" ca="1" si="51"/>
        <v>58.049860205032616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IFERROR(__xludf.DUMMYFUNCTION("IMPORTRANGE(""https://docs.google.com/spreadsheets/d/1MeEWN-I1oV_STSDYn1IFDPWt_1FKiwhDph83XaGc0o0/edit?usp=sharing"",""งบพรบ!AT55"")"),0)</f>
        <v>0</v>
      </c>
      <c r="M96" s="93">
        <f ca="1">IFERROR(__xludf.DUMMYFUNCTION("IMPORTRANGE(""https://docs.google.com/spreadsheets/d/1MeEWN-I1oV_STSDYn1IFDPWt_1FKiwhDph83XaGc0o0/edit?usp=sharing"",""งบพรบ!AW55"")"),0)</f>
        <v>0</v>
      </c>
      <c r="N96" s="93">
        <f ca="1">IFERROR(__xludf.DUMMYFUNCTION("IMPORTRANGE(""https://docs.google.com/spreadsheets/d/1MeEWN-I1oV_STSDYn1IFDPWt_1FKiwhDph83XaGc0o0/edit?usp=sharing"",""งบพรบ!AY55"")"),0)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IFERROR(__xludf.DUMMYFUNCTION("IMPORTRANGE(""https://docs.google.com/spreadsheets/d/1QqKyyYR6Q21VydFLVH3TRQUabQu_ym0Zz7PgGX0-kHA/edit?usp=sharing"",""แผน!M55"")"),2)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IFERROR(__xludf.DUMMYFUNCTION("IMPORTRANGE(""https://docs.google.com/spreadsheets/d/1QqKyyYR6Q21VydFLVH3TRQUabQu_ym0Zz7PgGX0-kHA/edit?usp=sharing"",""แผน!R55"")"),10)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IFERROR(__xludf.DUMMYFUNCTION("IMPORTRANGE(""https://docs.google.com/spreadsheets/d/1MeEWN-I1oV_STSDYn1IFDPWt_1FKiwhDph83XaGc0o0/edit?usp=sharing"",""งบพรบ!BA55"")"),0)</f>
        <v>0</v>
      </c>
      <c r="M124" s="93">
        <f ca="1">IFERROR(__xludf.DUMMYFUNCTION("IMPORTRANGE(""https://docs.google.com/spreadsheets/d/1MeEWN-I1oV_STSDYn1IFDPWt_1FKiwhDph83XaGc0o0/edit?usp=sharing"",""งบพรบ!BF55"")"),0)</f>
        <v>0</v>
      </c>
      <c r="N124" s="93">
        <f ca="1">IFERROR(__xludf.DUMMYFUNCTION("IMPORTRANGE(""https://docs.google.com/spreadsheets/d/1MeEWN-I1oV_STSDYn1IFDPWt_1FKiwhDph83XaGc0o0/edit?usp=sharing"",""งบพรบ!BH55"")"),0)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IFERROR(__xludf.DUMMYFUNCTION("IMPORTRANGE(""https://docs.google.com/spreadsheets/d/1MeEWN-I1oV_STSDYn1IFDPWt_1FKiwhDph83XaGc0o0/edit?usp=sharing"",""งบพรบ!BD55"")"),0)</f>
        <v>0</v>
      </c>
      <c r="M127" s="93">
        <f ca="1">IFERROR(__xludf.DUMMYFUNCTION("IMPORTRANGE(""https://docs.google.com/spreadsheets/d/1MeEWN-I1oV_STSDYn1IFDPWt_1FKiwhDph83XaGc0o0/edit?usp=sharing"",""งบพรบ!BG55"")"),0)</f>
        <v>0</v>
      </c>
      <c r="N127" s="93">
        <f ca="1">IFERROR(__xludf.DUMMYFUNCTION("IMPORTRANGE(""https://docs.google.com/spreadsheets/d/1MeEWN-I1oV_STSDYn1IFDPWt_1FKiwhDph83XaGc0o0/edit?usp=sharing"",""งบพรบ!BI55"")"),0)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146330</v>
      </c>
      <c r="O132" s="155">
        <f t="shared" ref="O132:O140" ca="1" si="70">IF(L132&gt;0,N132*100/L132,0)</f>
        <v>96.488740892156542</v>
      </c>
      <c r="P132" s="155">
        <f t="shared" ref="P132:P140" ca="1" si="71">IF(M132&gt;0,N132*100/M132,0)</f>
        <v>96.488740892156542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146330</v>
      </c>
      <c r="O134" s="93">
        <f t="shared" ca="1" si="70"/>
        <v>96.488740892156542</v>
      </c>
      <c r="P134" s="93">
        <f t="shared" ca="1" si="71"/>
        <v>96.488740892156542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43330</v>
      </c>
      <c r="O135" s="497">
        <f t="shared" ca="1" si="70"/>
        <v>89.05559551947384</v>
      </c>
      <c r="P135" s="497">
        <f t="shared" ca="1" si="71"/>
        <v>89.05559551947384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IFERROR(__xludf.DUMMYFUNCTION("IMPORTRANGE(""https://docs.google.com/spreadsheets/d/1MeEWN-I1oV_STSDYn1IFDPWt_1FKiwhDph83XaGc0o0/edit?usp=sharing"",""งบพรบ!BK55"")"),48655)</f>
        <v>48655</v>
      </c>
      <c r="M137" s="93">
        <f ca="1">IFERROR(__xludf.DUMMYFUNCTION("IMPORTRANGE(""https://docs.google.com/spreadsheets/d/1MeEWN-I1oV_STSDYn1IFDPWt_1FKiwhDph83XaGc0o0/edit?usp=sharing"",""งบพรบ!BP55"")"),48655)</f>
        <v>48655</v>
      </c>
      <c r="N137" s="93">
        <f ca="1">IFERROR(__xludf.DUMMYFUNCTION("IMPORTRANGE(""https://docs.google.com/spreadsheets/d/1MeEWN-I1oV_STSDYn1IFDPWt_1FKiwhDph83XaGc0o0/edit?usp=sharing"",""งบพรบ!BR55"")"),43330)</f>
        <v>43330</v>
      </c>
      <c r="O137" s="93">
        <f t="shared" ca="1" si="70"/>
        <v>89.05559551947384</v>
      </c>
      <c r="P137" s="93">
        <f t="shared" ca="1" si="71"/>
        <v>89.05559551947384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IFERROR(__xludf.DUMMYFUNCTION("IMPORTRANGE(""https://docs.google.com/spreadsheets/d/1MeEWN-I1oV_STSDYn1IFDPWt_1FKiwhDph83XaGc0o0/edit?usp=sharing"",""งบพรบ!BN55"")"),103000)</f>
        <v>103000</v>
      </c>
      <c r="M140" s="93">
        <f ca="1">IFERROR(__xludf.DUMMYFUNCTION("IMPORTRANGE(""https://docs.google.com/spreadsheets/d/1MeEWN-I1oV_STSDYn1IFDPWt_1FKiwhDph83XaGc0o0/edit?usp=sharing"",""งบพรบ!BQ55"")"),103000)</f>
        <v>103000</v>
      </c>
      <c r="N140" s="93">
        <f ca="1">IFERROR(__xludf.DUMMYFUNCTION("IMPORTRANGE(""https://docs.google.com/spreadsheets/d/1MeEWN-I1oV_STSDYn1IFDPWt_1FKiwhDph83XaGc0o0/edit?usp=sharing"",""งบพรบ!BS55"")"),103000)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IFERROR(__xludf.DUMMYFUNCTION("IMPORTRANGE(""https://docs.google.com/spreadsheets/d/1QqKyyYR6Q21VydFLVH3TRQUabQu_ym0Zz7PgGX0-kHA/edit?usp=sharing"",""แผน!U55"")"),5)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IFERROR(__xludf.DUMMYFUNCTION("IMPORTRANGE(""https://docs.google.com/spreadsheets/d/1QqKyyYR6Q21VydFLVH3TRQUabQu_ym0Zz7PgGX0-kHA/edit?usp=sharing"",""แผน!V55"")"),10)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IFERROR(__xludf.DUMMYFUNCTION("IMPORTRANGE(""https://docs.google.com/spreadsheets/d/1QqKyyYR6Q21VydFLVH3TRQUabQu_ym0Zz7PgGX0-kHA/edit?usp=sharing"",""แผน!W55"")"),1)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22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11040</v>
      </c>
      <c r="N149" s="155">
        <f t="shared" ca="1" si="77"/>
        <v>11040</v>
      </c>
      <c r="O149" s="155">
        <f t="shared" ref="O149:O157" ca="1" si="78">IF(L149&gt;0,N149*100/L149,0)</f>
        <v>110.4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11040</v>
      </c>
      <c r="N151" s="93">
        <f t="shared" ca="1" si="80"/>
        <v>11040</v>
      </c>
      <c r="O151" s="93">
        <f t="shared" ca="1" si="78"/>
        <v>110.4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11040</v>
      </c>
      <c r="N152" s="497">
        <f t="shared" ca="1" si="81"/>
        <v>11040</v>
      </c>
      <c r="O152" s="497">
        <f t="shared" ca="1" si="78"/>
        <v>110.4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IFERROR(__xludf.DUMMYFUNCTION("IMPORTRANGE(""https://docs.google.com/spreadsheets/d/1MeEWN-I1oV_STSDYn1IFDPWt_1FKiwhDph83XaGc0o0/edit?usp=sharing"",""งบพรบ!BU55"")"),10000)</f>
        <v>10000</v>
      </c>
      <c r="M154" s="93">
        <f ca="1">IFERROR(__xludf.DUMMYFUNCTION("IMPORTRANGE(""https://docs.google.com/spreadsheets/d/1MeEWN-I1oV_STSDYn1IFDPWt_1FKiwhDph83XaGc0o0/edit?usp=sharing"",""งบพรบ!BZ55"")"),11040)</f>
        <v>11040</v>
      </c>
      <c r="N154" s="93">
        <f ca="1">IFERROR(__xludf.DUMMYFUNCTION("IMPORTRANGE(""https://docs.google.com/spreadsheets/d/1MeEWN-I1oV_STSDYn1IFDPWt_1FKiwhDph83XaGc0o0/edit?usp=sharing"",""งบพรบ!CB55"")"),11040)</f>
        <v>11040</v>
      </c>
      <c r="O154" s="93">
        <f t="shared" ca="1" si="78"/>
        <v>110.4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IFERROR(__xludf.DUMMYFUNCTION("IMPORTRANGE(""https://docs.google.com/spreadsheets/d/1MeEWN-I1oV_STSDYn1IFDPWt_1FKiwhDph83XaGc0o0/edit?usp=sharing"",""งบพรบ!BX55"")"),0)</f>
        <v>0</v>
      </c>
      <c r="M157" s="93">
        <f ca="1">IFERROR(__xludf.DUMMYFUNCTION("IMPORTRANGE(""https://docs.google.com/spreadsheets/d/1MeEWN-I1oV_STSDYn1IFDPWt_1FKiwhDph83XaGc0o0/edit?usp=sharing"",""งบพรบ!CA55"")"),0)</f>
        <v>0</v>
      </c>
      <c r="N157" s="93">
        <f ca="1">IFERROR(__xludf.DUMMYFUNCTION("IMPORTRANGE(""https://docs.google.com/spreadsheets/d/1MeEWN-I1oV_STSDYn1IFDPWt_1FKiwhDph83XaGc0o0/edit?usp=sharing"",""งบพรบ!CC55"")"),0)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IFERROR(__xludf.DUMMYFUNCTION("IMPORTRANGE(""https://docs.google.com/spreadsheets/d/1QqKyyYR6Q21VydFLVH3TRQUabQu_ym0Zz7PgGX0-kHA/edit?usp=sharing"",""แผน!X55"")"),20)</f>
        <v>20</v>
      </c>
      <c r="J159" s="215">
        <v>22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36100</v>
      </c>
      <c r="N165" s="155">
        <f t="shared" ca="1" si="84"/>
        <v>36100</v>
      </c>
      <c r="O165" s="155">
        <f t="shared" ref="O165:O173" ca="1" si="85">IF(L165&gt;0,N165*100/L165,0)</f>
        <v>156.54813529921944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36100</v>
      </c>
      <c r="N167" s="93">
        <f t="shared" ca="1" si="87"/>
        <v>36100</v>
      </c>
      <c r="O167" s="93">
        <f t="shared" ca="1" si="85"/>
        <v>156.54813529921944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36100</v>
      </c>
      <c r="N168" s="497">
        <f t="shared" ca="1" si="88"/>
        <v>36100</v>
      </c>
      <c r="O168" s="497">
        <f t="shared" ca="1" si="85"/>
        <v>156.54813529921944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IFERROR(__xludf.DUMMYFUNCTION("IMPORTRANGE(""https://docs.google.com/spreadsheets/d/1MeEWN-I1oV_STSDYn1IFDPWt_1FKiwhDph83XaGc0o0/edit?usp=sharing"",""งบพรบ!CE55"")"),23060)</f>
        <v>23060</v>
      </c>
      <c r="M170" s="93">
        <f ca="1">IFERROR(__xludf.DUMMYFUNCTION("IMPORTRANGE(""https://docs.google.com/spreadsheets/d/1MeEWN-I1oV_STSDYn1IFDPWt_1FKiwhDph83XaGc0o0/edit?usp=sharing"",""งบพรบ!CJ55"")"),36100)</f>
        <v>36100</v>
      </c>
      <c r="N170" s="93">
        <f ca="1">IFERROR(__xludf.DUMMYFUNCTION("IMPORTRANGE(""https://docs.google.com/spreadsheets/d/1MeEWN-I1oV_STSDYn1IFDPWt_1FKiwhDph83XaGc0o0/edit?usp=sharing"",""งบพรบ!CL55"")"),36100)</f>
        <v>36100</v>
      </c>
      <c r="O170" s="93">
        <f t="shared" ca="1" si="85"/>
        <v>156.54813529921944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IFERROR(__xludf.DUMMYFUNCTION("IMPORTRANGE(""https://docs.google.com/spreadsheets/d/1MeEWN-I1oV_STSDYn1IFDPWt_1FKiwhDph83XaGc0o0/edit?usp=sharing"",""งบพรบ!CH55"")"),0)</f>
        <v>0</v>
      </c>
      <c r="M173" s="93">
        <f ca="1">IFERROR(__xludf.DUMMYFUNCTION("IMPORTRANGE(""https://docs.google.com/spreadsheets/d/1MeEWN-I1oV_STSDYn1IFDPWt_1FKiwhDph83XaGc0o0/edit?usp=sharing"",""งบพรบ!CK55"")"),0)</f>
        <v>0</v>
      </c>
      <c r="N173" s="93">
        <f ca="1">IFERROR(__xludf.DUMMYFUNCTION("IMPORTRANGE(""https://docs.google.com/spreadsheets/d/1MeEWN-I1oV_STSDYn1IFDPWt_1FKiwhDph83XaGc0o0/edit?usp=sharing"",""งบพรบ!CM55"")"),0)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70</v>
      </c>
      <c r="J180" s="253">
        <f t="shared" si="91"/>
        <v>70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633700</v>
      </c>
      <c r="M181" s="155">
        <f t="shared" ca="1" si="92"/>
        <v>667720</v>
      </c>
      <c r="N181" s="155">
        <f t="shared" ca="1" si="92"/>
        <v>597972.79</v>
      </c>
      <c r="O181" s="155">
        <f t="shared" ref="O181:O189" ca="1" si="93">IF(L181&gt;0,N181*100/L181,0)</f>
        <v>94.362125611488082</v>
      </c>
      <c r="P181" s="155">
        <f t="shared" ref="P181:P189" ca="1" si="94">IF(M181&gt;0,N181*100/M181,0)</f>
        <v>89.554422512430364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633700</v>
      </c>
      <c r="M183" s="93">
        <f t="shared" ca="1" si="95"/>
        <v>667720</v>
      </c>
      <c r="N183" s="93">
        <f t="shared" ca="1" si="95"/>
        <v>597972.79</v>
      </c>
      <c r="O183" s="93">
        <f t="shared" ca="1" si="93"/>
        <v>94.362125611488082</v>
      </c>
      <c r="P183" s="93">
        <f t="shared" ca="1" si="94"/>
        <v>89.554422512430364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633700</v>
      </c>
      <c r="M184" s="497">
        <f t="shared" ca="1" si="96"/>
        <v>667720</v>
      </c>
      <c r="N184" s="497">
        <f t="shared" ca="1" si="96"/>
        <v>597972.79</v>
      </c>
      <c r="O184" s="497">
        <f t="shared" ca="1" si="93"/>
        <v>94.362125611488082</v>
      </c>
      <c r="P184" s="497">
        <f t="shared" ca="1" si="94"/>
        <v>89.554422512430364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IFERROR(__xludf.DUMMYFUNCTION("IMPORTRANGE(""https://docs.google.com/spreadsheets/d/1MeEWN-I1oV_STSDYn1IFDPWt_1FKiwhDph83XaGc0o0/edit?usp=sharing"",""งบพรบ!CO55"")"),633700)</f>
        <v>633700</v>
      </c>
      <c r="M186" s="93">
        <f ca="1">IFERROR(__xludf.DUMMYFUNCTION("IMPORTRANGE(""https://docs.google.com/spreadsheets/d/1MeEWN-I1oV_STSDYn1IFDPWt_1FKiwhDph83XaGc0o0/edit?usp=sharing"",""งบพรบ!CT55"")"),667720)</f>
        <v>667720</v>
      </c>
      <c r="N186" s="93">
        <f ca="1">IFERROR(__xludf.DUMMYFUNCTION("IMPORTRANGE(""https://docs.google.com/spreadsheets/d/1MeEWN-I1oV_STSDYn1IFDPWt_1FKiwhDph83XaGc0o0/edit?usp=sharing"",""งบพรบ!CV55"")"),597972.79)</f>
        <v>597972.79</v>
      </c>
      <c r="O186" s="93">
        <f t="shared" ca="1" si="93"/>
        <v>94.362125611488082</v>
      </c>
      <c r="P186" s="93">
        <f t="shared" ca="1" si="94"/>
        <v>89.554422512430364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IFERROR(__xludf.DUMMYFUNCTION("IMPORTRANGE(""https://docs.google.com/spreadsheets/d/1MeEWN-I1oV_STSDYn1IFDPWt_1FKiwhDph83XaGc0o0/edit?usp=sharing"",""งบพรบ!CR55"")"),0)</f>
        <v>0</v>
      </c>
      <c r="M189" s="93">
        <f ca="1">IFERROR(__xludf.DUMMYFUNCTION("IMPORTRANGE(""https://docs.google.com/spreadsheets/d/1MeEWN-I1oV_STSDYn1IFDPWt_1FKiwhDph83XaGc0o0/edit?usp=sharing"",""งบพรบ!CU55"")"),0)</f>
        <v>0</v>
      </c>
      <c r="N189" s="93">
        <f ca="1">IFERROR(__xludf.DUMMYFUNCTION("IMPORTRANGE(""https://docs.google.com/spreadsheets/d/1MeEWN-I1oV_STSDYn1IFDPWt_1FKiwhDph83XaGc0o0/edit?usp=sharing"",""งบพรบ!CW55"")"),0)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IFERROR(__xludf.DUMMYFUNCTION("IMPORTRANGE(""https://docs.google.com/spreadsheets/d/1QqKyyYR6Q21VydFLVH3TRQUabQu_ym0Zz7PgGX0-kHA/edit?usp=sharing"",""แผน!Z55"")"),6000)</f>
        <v>6000</v>
      </c>
      <c r="M191" s="155"/>
      <c r="N191" s="276">
        <v>4320</v>
      </c>
      <c r="O191" s="155">
        <f ca="1">IF(L191&gt;0,N191*100/L191,0)</f>
        <v>72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IFERROR(__xludf.DUMMYFUNCTION("IMPORTRANGE(""https://docs.google.com/spreadsheets/d/1QqKyyYR6Q21VydFLVH3TRQUabQu_ym0Zz7PgGX0-kHA/edit?usp=sharing"",""แผน!AE55"")"),3000)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IFERROR(__xludf.DUMMYFUNCTION("IMPORTRANGE(""https://docs.google.com/spreadsheets/d/1QqKyyYR6Q21VydFLVH3TRQUabQu_ym0Zz7PgGX0-kHA/edit?usp=sharing"",""แผน!AF55"")"),24000)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IFERROR(__xludf.DUMMYFUNCTION("IMPORTRANGE(""https://docs.google.com/spreadsheets/d/1QqKyyYR6Q21VydFLVH3TRQUabQu_ym0Zz7PgGX0-kHA/edit?usp=sharing"",""แผน!AG55"")"),12000)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IFERROR(__xludf.DUMMYFUNCTION("IMPORTRANGE(""https://docs.google.com/spreadsheets/d/1QqKyyYR6Q21VydFLVH3TRQUabQu_ym0Zz7PgGX0-kHA/edit?usp=sharing"",""แผน!AK55"")"),3000)</f>
        <v>3000</v>
      </c>
      <c r="M210" s="497"/>
      <c r="N210" s="284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IFERROR(__xludf.DUMMYFUNCTION("IMPORTRANGE(""https://docs.google.com/spreadsheets/d/1QqKyyYR6Q21VydFLVH3TRQUabQu_ym0Zz7PgGX0-kHA/edit?usp=sharing"",""แผน!AL55"")"),15000)</f>
        <v>15000</v>
      </c>
      <c r="M211" s="497"/>
      <c r="N211" s="284">
        <v>15000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IFERROR(__xludf.DUMMYFUNCTION("IMPORTRANGE(""https://docs.google.com/spreadsheets/d/1QqKyyYR6Q21VydFLVH3TRQUabQu_ym0Zz7PgGX0-kHA/edit?usp=sharing"",""แผน!AM55"")"),24000)</f>
        <v>24000</v>
      </c>
      <c r="M212" s="497"/>
      <c r="N212" s="284">
        <v>24000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IFERROR(__xludf.DUMMYFUNCTION("IMPORTRANGE(""https://docs.google.com/spreadsheets/d/1QqKyyYR6Q21VydFLVH3TRQUabQu_ym0Zz7PgGX0-kHA/edit?usp=sharing"",""แผน!AN55"")"),3)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IFERROR(__xludf.DUMMYFUNCTION("IMPORTRANGE(""https://docs.google.com/spreadsheets/d/1QqKyyYR6Q21VydFLVH3TRQUabQu_ym0Zz7PgGX0-kHA/edit?usp=sharing"",""แผน!AN55"")"),3)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40000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14400</v>
      </c>
      <c r="O217" s="155">
        <f ca="1">IF(L217&gt;0,N217*100/L217,0)</f>
        <v>57.6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IFERROR(__xludf.DUMMYFUNCTION("IMPORTRANGE(""https://docs.google.com/spreadsheets/d/1QqKyyYR6Q21VydFLVH3TRQUabQu_ym0Zz7PgGX0-kHA/edit?usp=sharing"",""แผน!AP55"")"),5000)</f>
        <v>5000</v>
      </c>
      <c r="M218" s="497"/>
      <c r="N218" s="284">
        <v>4400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IFERROR(__xludf.DUMMYFUNCTION("IMPORTRANGE(""https://docs.google.com/spreadsheets/d/1QqKyyYR6Q21VydFLVH3TRQUabQu_ym0Zz7PgGX0-kHA/edit?usp=sharing"",""แผน!AQ55"")"),10000)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IFERROR(__xludf.DUMMYFUNCTION("IMPORTRANGE(""https://docs.google.com/spreadsheets/d/1QqKyyYR6Q21VydFLVH3TRQUabQu_ym0Zz7PgGX0-kHA/edit?usp=sharing"",""แผน!AR55"")"),10000)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IFERROR(__xludf.DUMMYFUNCTION("IMPORTRANGE(""https://docs.google.com/spreadsheets/d/1QqKyyYR6Q21VydFLVH3TRQUabQu_ym0Zz7PgGX0-kHA/edit?usp=sharing"",""แผน!AT55"")"),40000)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IFERROR(__xludf.DUMMYFUNCTION("IMPORTRANGE(""https://docs.google.com/spreadsheets/d/1QqKyyYR6Q21VydFLVH3TRQUabQu_ym0Zz7PgGX0-kHA/edit?usp=sharing"",""แผน!AT55"")"),40000)</f>
        <v>40000</v>
      </c>
      <c r="J224" s="215">
        <v>40000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IFERROR(__xludf.DUMMYFUNCTION("IMPORTRANGE(""https://docs.google.com/spreadsheets/d/1QqKyyYR6Q21VydFLVH3TRQUabQu_ym0Zz7PgGX0-kHA/edit?usp=sharing"",""แผน!AS55"")"),10)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368000</v>
      </c>
      <c r="M227" s="356"/>
      <c r="N227" s="356">
        <f t="shared" ref="N227:N231" si="107">N238+N249</f>
        <v>351866.67000000004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183000</v>
      </c>
      <c r="M228" s="93"/>
      <c r="N228" s="93">
        <f t="shared" si="107"/>
        <v>142771.67000000001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70000</v>
      </c>
      <c r="M229" s="93"/>
      <c r="N229" s="93">
        <f t="shared" si="107"/>
        <v>94095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95000</v>
      </c>
      <c r="M230" s="93"/>
      <c r="N230" s="93">
        <f t="shared" si="107"/>
        <v>95000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20000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60</v>
      </c>
      <c r="J235" s="612">
        <f t="shared" si="109"/>
        <v>60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2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336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239900</v>
      </c>
      <c r="M238" s="155"/>
      <c r="N238" s="155">
        <f>N239+N240+N241+N242</f>
        <v>223766.67</v>
      </c>
      <c r="O238" s="155">
        <f ca="1">IF(L238&gt;0,N238*100/L238,0)</f>
        <v>93.274977073780747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IFERROR(__xludf.DUMMYFUNCTION("IMPORTRANGE(""https://docs.google.com/spreadsheets/d/1QqKyyYR6Q21VydFLVH3TRQUabQu_ym0Zz7PgGX0-kHA/edit?usp=sharing"",""แผน!AV55"")"),163000)</f>
        <v>163000</v>
      </c>
      <c r="M239" s="283"/>
      <c r="N239" s="872">
        <f>223766.67-45000-60835</f>
        <v>117931.67000000001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IFERROR(__xludf.DUMMYFUNCTION("IMPORTRANGE(""https://docs.google.com/spreadsheets/d/1QqKyyYR6Q21VydFLVH3TRQUabQu_ym0Zz7PgGX0-kHA/edit?usp=sharing"",""แผน!AW55"")"),31900)</f>
        <v>31900</v>
      </c>
      <c r="M240" s="283"/>
      <c r="N240" s="872">
        <v>60835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IFERROR(__xludf.DUMMYFUNCTION("IMPORTRANGE(""https://docs.google.com/spreadsheets/d/1QqKyyYR6Q21VydFLVH3TRQUabQu_ym0Zz7PgGX0-kHA/edit?usp=sharing"",""แผน!AX55"")"),35000)</f>
        <v>35000</v>
      </c>
      <c r="M241" s="283"/>
      <c r="N241" s="872">
        <v>35000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IFERROR(__xludf.DUMMYFUNCTION("IMPORTRANGE(""https://docs.google.com/spreadsheets/d/1QqKyyYR6Q21VydFLVH3TRQUabQu_ym0Zz7PgGX0-kHA/edit?usp=sharing"",""แผน!AY55"")"),10000)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IFERROR(__xludf.DUMMYFUNCTION("IMPORTRANGE(""https://docs.google.com/spreadsheets/d/1QqKyyYR6Q21VydFLVH3TRQUabQu_ym0Zz7PgGX0-kHA/edit?usp=sharing"",""แผน!BE55"")"),30)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337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30</v>
      </c>
      <c r="J248" s="272">
        <f t="shared" si="113"/>
        <v>30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128100</v>
      </c>
      <c r="M249" s="155"/>
      <c r="N249" s="155">
        <f>N250+N251+N252+N253</f>
        <v>128100</v>
      </c>
      <c r="O249" s="155">
        <f ca="1">IF(L249&gt;0,N249*100/L249,0)</f>
        <v>100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IFERROR(__xludf.DUMMYFUNCTION("IMPORTRANGE(""https://docs.google.com/spreadsheets/d/1QqKyyYR6Q21VydFLVH3TRQUabQu_ym0Zz7PgGX0-kHA/edit?usp=sharing"",""แผน!AZ55"")"),20000)</f>
        <v>20000</v>
      </c>
      <c r="M250" s="283"/>
      <c r="N250" s="872">
        <v>24840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IFERROR(__xludf.DUMMYFUNCTION("IMPORTRANGE(""https://docs.google.com/spreadsheets/d/1QqKyyYR6Q21VydFLVH3TRQUabQu_ym0Zz7PgGX0-kHA/edit?usp=sharing"",""แผน!BA55"")"),38100)</f>
        <v>38100</v>
      </c>
      <c r="M251" s="283"/>
      <c r="N251" s="872">
        <v>33260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IFERROR(__xludf.DUMMYFUNCTION("IMPORTRANGE(""https://docs.google.com/spreadsheets/d/1QqKyyYR6Q21VydFLVH3TRQUabQu_ym0Zz7PgGX0-kHA/edit?usp=sharing"",""แผน!BB55"")"),60000)</f>
        <v>60000</v>
      </c>
      <c r="M252" s="283"/>
      <c r="N252" s="872">
        <v>60000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IFERROR(__xludf.DUMMYFUNCTION("IMPORTRANGE(""https://docs.google.com/spreadsheets/d/1QqKyyYR6Q21VydFLVH3TRQUabQu_ym0Zz7PgGX0-kHA/edit?usp=sharing"",""แผน!BC55"")"),10000)</f>
        <v>10000</v>
      </c>
      <c r="M253" s="283"/>
      <c r="N253" s="872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IFERROR(__xludf.DUMMYFUNCTION("IMPORTRANGE(""https://docs.google.com/spreadsheets/d/1QqKyyYR6Q21VydFLVH3TRQUabQu_ym0Zz7PgGX0-kHA/edit?usp=sharing"",""แผน!BF55"")"),30)</f>
        <v>30</v>
      </c>
      <c r="J255" s="215">
        <v>30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30</v>
      </c>
      <c r="J257" s="215">
        <v>30</v>
      </c>
      <c r="K257" s="497">
        <f t="shared" ref="K257:K258" si="114">IF(I257&gt;0,J257*100/I257,0)</f>
        <v>100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1</v>
      </c>
      <c r="K258" s="497">
        <f t="shared" si="114"/>
        <v>100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18940</v>
      </c>
      <c r="O261" s="155">
        <f t="shared" ref="O261:O269" ca="1" si="117">IF(L261&gt;0,N261*100/L261,0)</f>
        <v>70.408921933085509</v>
      </c>
      <c r="P261" s="155">
        <f t="shared" ref="P261:P269" ca="1" si="118">IF(M261&gt;0,N261*100/M261,0)</f>
        <v>70.408921933085509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18940</v>
      </c>
      <c r="O263" s="93">
        <f t="shared" ca="1" si="117"/>
        <v>70.408921933085509</v>
      </c>
      <c r="P263" s="93">
        <f t="shared" ca="1" si="118"/>
        <v>70.408921933085509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18940</v>
      </c>
      <c r="O264" s="497">
        <f t="shared" ca="1" si="117"/>
        <v>70.408921933085509</v>
      </c>
      <c r="P264" s="497">
        <f t="shared" ca="1" si="118"/>
        <v>70.408921933085509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IFERROR(__xludf.DUMMYFUNCTION("IMPORTRANGE(""https://docs.google.com/spreadsheets/d/1MeEWN-I1oV_STSDYn1IFDPWt_1FKiwhDph83XaGc0o0/edit?usp=sharing"",""งบพรบ!CY55"")"),26900)</f>
        <v>26900</v>
      </c>
      <c r="M266" s="93">
        <f ca="1">IFERROR(__xludf.DUMMYFUNCTION("IMPORTRANGE(""https://docs.google.com/spreadsheets/d/1MeEWN-I1oV_STSDYn1IFDPWt_1FKiwhDph83XaGc0o0/edit?usp=sharing"",""งบพรบ!DD55"")"),26900)</f>
        <v>26900</v>
      </c>
      <c r="N266" s="93">
        <f ca="1">IFERROR(__xludf.DUMMYFUNCTION("IMPORTRANGE(""https://docs.google.com/spreadsheets/d/1MeEWN-I1oV_STSDYn1IFDPWt_1FKiwhDph83XaGc0o0/edit?usp=sharing"",""งบพรบ!DF55"")"),18940)</f>
        <v>18940</v>
      </c>
      <c r="O266" s="93">
        <f t="shared" ca="1" si="117"/>
        <v>70.408921933085509</v>
      </c>
      <c r="P266" s="93">
        <f t="shared" ca="1" si="118"/>
        <v>70.408921933085509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IFERROR(__xludf.DUMMYFUNCTION("IMPORTRANGE(""https://docs.google.com/spreadsheets/d/1MeEWN-I1oV_STSDYn1IFDPWt_1FKiwhDph83XaGc0o0/edit?usp=sharing"",""งบพรบ!DB55"")"),0)</f>
        <v>0</v>
      </c>
      <c r="M269" s="93">
        <f ca="1">IFERROR(__xludf.DUMMYFUNCTION("IMPORTRANGE(""https://docs.google.com/spreadsheets/d/1MeEWN-I1oV_STSDYn1IFDPWt_1FKiwhDph83XaGc0o0/edit?usp=sharing"",""งบพรบ!DE55"")"),0)</f>
        <v>0</v>
      </c>
      <c r="N269" s="93">
        <f ca="1">IFERROR(__xludf.DUMMYFUNCTION("IMPORTRANGE(""https://docs.google.com/spreadsheets/d/1MeEWN-I1oV_STSDYn1IFDPWt_1FKiwhDph83XaGc0o0/edit?usp=sharing"",""งบพรบ!DG55"")"),0)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21945</v>
      </c>
      <c r="O277" s="155">
        <f t="shared" ref="O277:O285" ca="1" si="126">IF(L277&gt;0,N277*100/L277,0)</f>
        <v>96.97304463102077</v>
      </c>
      <c r="P277" s="155">
        <f t="shared" ref="P277:P285" ca="1" si="127">IF(M277&gt;0,N277*100/M277,0)</f>
        <v>96.97304463102077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21945</v>
      </c>
      <c r="O279" s="93">
        <f t="shared" ca="1" si="126"/>
        <v>96.97304463102077</v>
      </c>
      <c r="P279" s="93">
        <f t="shared" ca="1" si="127"/>
        <v>96.97304463102077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21945</v>
      </c>
      <c r="O280" s="497">
        <f t="shared" ca="1" si="126"/>
        <v>96.97304463102077</v>
      </c>
      <c r="P280" s="497">
        <f t="shared" ca="1" si="127"/>
        <v>96.97304463102077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IFERROR(__xludf.DUMMYFUNCTION("IMPORTRANGE(""https://docs.google.com/spreadsheets/d/1MeEWN-I1oV_STSDYn1IFDPWt_1FKiwhDph83XaGc0o0/edit?usp=sharing"",""งบพรบ!DI55"")"),22630)</f>
        <v>22630</v>
      </c>
      <c r="M282" s="93">
        <f ca="1">IFERROR(__xludf.DUMMYFUNCTION("IMPORTRANGE(""https://docs.google.com/spreadsheets/d/1MeEWN-I1oV_STSDYn1IFDPWt_1FKiwhDph83XaGc0o0/edit?usp=sharing"",""งบพรบ!DN55"")"),22630)</f>
        <v>22630</v>
      </c>
      <c r="N282" s="93">
        <f ca="1">IFERROR(__xludf.DUMMYFUNCTION("IMPORTRANGE(""https://docs.google.com/spreadsheets/d/1MeEWN-I1oV_STSDYn1IFDPWt_1FKiwhDph83XaGc0o0/edit?usp=sharing"",""งบพรบ!DP55"")"),21945)</f>
        <v>21945</v>
      </c>
      <c r="O282" s="93">
        <f t="shared" ca="1" si="126"/>
        <v>96.97304463102077</v>
      </c>
      <c r="P282" s="93">
        <f t="shared" ca="1" si="127"/>
        <v>96.97304463102077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IFERROR(__xludf.DUMMYFUNCTION("IMPORTRANGE(""https://docs.google.com/spreadsheets/d/1MeEWN-I1oV_STSDYn1IFDPWt_1FKiwhDph83XaGc0o0/edit?usp=sharing"",""งบพรบ!DL55"")"),0)</f>
        <v>0</v>
      </c>
      <c r="M285" s="93">
        <f ca="1">IFERROR(__xludf.DUMMYFUNCTION("IMPORTRANGE(""https://docs.google.com/spreadsheets/d/1MeEWN-I1oV_STSDYn1IFDPWt_1FKiwhDph83XaGc0o0/edit?usp=sharing"",""งบพรบ!DO55"")"),0)</f>
        <v>0</v>
      </c>
      <c r="N285" s="93">
        <f ca="1">IFERROR(__xludf.DUMMYFUNCTION("IMPORTRANGE(""https://docs.google.com/spreadsheets/d/1MeEWN-I1oV_STSDYn1IFDPWt_1FKiwhDph83XaGc0o0/edit?usp=sharing"",""งบพรบ!DQ55"")"),0)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IFERROR(__xludf.DUMMYFUNCTION("IMPORTRANGE(""https://docs.google.com/spreadsheets/d/1QqKyyYR6Q21VydFLVH3TRQUabQu_ym0Zz7PgGX0-kHA/edit?usp=sharing"",""แผน!EC55"")"),50)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IFERROR(__xludf.DUMMYFUNCTION("IMPORTRANGE(""https://docs.google.com/spreadsheets/d/1QqKyyYR6Q21VydFLVH3TRQUabQu_ym0Zz7PgGX0-kHA/edit?usp=sharing"",""แผน!EB55"")"),5)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IFERROR(__xludf.DUMMYFUNCTION("IMPORTRANGE(""https://docs.google.com/spreadsheets/d/1QqKyyYR6Q21VydFLVH3TRQUabQu_ym0Zz7PgGX0-kHA/edit?usp=sharing"",""แผน!EB55"")"),5)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IFERROR(__xludf.DUMMYFUNCTION("IMPORTRANGE(""https://docs.google.com/spreadsheets/d/1QqKyyYR6Q21VydFLVH3TRQUabQu_ym0Zz7PgGX0-kHA/edit?usp=sharing"",""แผน!EB55"")"),5)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IFERROR(__xludf.DUMMYFUNCTION("IMPORTRANGE(""https://docs.google.com/spreadsheets/d/1QqKyyYR6Q21VydFLVH3TRQUabQu_ym0Zz7PgGX0-kHA/edit?usp=sharing"",""แผน!EB55"")"),5)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IFERROR(__xludf.DUMMYFUNCTION("IMPORTRANGE(""https://docs.google.com/spreadsheets/d/1QqKyyYR6Q21VydFLVH3TRQUabQu_ym0Zz7PgGX0-kHA/edit?usp=sharing"",""แผน!EB55"")"),5)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185990.08</v>
      </c>
      <c r="O298" s="155">
        <f t="shared" ref="O298:O306" ca="1" si="136">IF(L298&gt;0,N298*100/L298,0)</f>
        <v>82.515563442768411</v>
      </c>
      <c r="P298" s="155">
        <f t="shared" ref="P298:P306" ca="1" si="137">IF(M298&gt;0,N298*100/M298,0)</f>
        <v>82.515563442768411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185990.08</v>
      </c>
      <c r="O300" s="93">
        <f t="shared" ca="1" si="136"/>
        <v>82.515563442768411</v>
      </c>
      <c r="P300" s="93">
        <f t="shared" ca="1" si="137"/>
        <v>82.515563442768411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225400</v>
      </c>
      <c r="M301" s="497">
        <f t="shared" ca="1" si="139"/>
        <v>225400</v>
      </c>
      <c r="N301" s="497">
        <f t="shared" ca="1" si="139"/>
        <v>185990.08</v>
      </c>
      <c r="O301" s="497">
        <f t="shared" ca="1" si="136"/>
        <v>82.515563442768411</v>
      </c>
      <c r="P301" s="497">
        <f t="shared" ca="1" si="137"/>
        <v>82.515563442768411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IFERROR(__xludf.DUMMYFUNCTION("IMPORTRANGE(""https://docs.google.com/spreadsheets/d/1MeEWN-I1oV_STSDYn1IFDPWt_1FKiwhDph83XaGc0o0/edit?usp=sharing"",""งบพรบ!DS55"")"),225400)</f>
        <v>225400</v>
      </c>
      <c r="M303" s="93">
        <f ca="1">IFERROR(__xludf.DUMMYFUNCTION("IMPORTRANGE(""https://docs.google.com/spreadsheets/d/1MeEWN-I1oV_STSDYn1IFDPWt_1FKiwhDph83XaGc0o0/edit?usp=sharing"",""งบพรบ!DX55"")"),225400)</f>
        <v>225400</v>
      </c>
      <c r="N303" s="93">
        <f ca="1">IFERROR(__xludf.DUMMYFUNCTION("IMPORTRANGE(""https://docs.google.com/spreadsheets/d/1MeEWN-I1oV_STSDYn1IFDPWt_1FKiwhDph83XaGc0o0/edit?usp=sharing"",""งบพรบ!DZ55"")"),185990.08)</f>
        <v>185990.08</v>
      </c>
      <c r="O303" s="93">
        <f t="shared" ca="1" si="136"/>
        <v>82.515563442768411</v>
      </c>
      <c r="P303" s="93">
        <f t="shared" ca="1" si="137"/>
        <v>82.515563442768411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IFERROR(__xludf.DUMMYFUNCTION("IMPORTRANGE(""https://docs.google.com/spreadsheets/d/1MeEWN-I1oV_STSDYn1IFDPWt_1FKiwhDph83XaGc0o0/edit?usp=sharing"",""งบพรบ!DV55"")"),0)</f>
        <v>0</v>
      </c>
      <c r="M306" s="93">
        <f ca="1">IFERROR(__xludf.DUMMYFUNCTION("IMPORTRANGE(""https://docs.google.com/spreadsheets/d/1MeEWN-I1oV_STSDYn1IFDPWt_1FKiwhDph83XaGc0o0/edit?usp=sharing"",""งบพรบ!DY55"")"),0)</f>
        <v>0</v>
      </c>
      <c r="N306" s="93">
        <f ca="1">IFERROR(__xludf.DUMMYFUNCTION("IMPORTRANGE(""https://docs.google.com/spreadsheets/d/1MeEWN-I1oV_STSDYn1IFDPWt_1FKiwhDph83XaGc0o0/edit?usp=sharing"",""งบพรบ!EA55"")"),0)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IFERROR(__xludf.DUMMYFUNCTION("IMPORTRANGE(""https://docs.google.com/spreadsheets/d/1MeEWN-I1oV_STSDYn1IFDPWt_1FKiwhDph83XaGc0o0/edit?usp=sharing"",""งบพรบ!EC55"")"),0)</f>
        <v>0</v>
      </c>
      <c r="M320" s="93">
        <f ca="1">IFERROR(__xludf.DUMMYFUNCTION("IMPORTRANGE(""https://docs.google.com/spreadsheets/d/1MeEWN-I1oV_STSDYn1IFDPWt_1FKiwhDph83XaGc0o0/edit?usp=sharing"",""งบพรบ!EH55"")"),0)</f>
        <v>0</v>
      </c>
      <c r="N320" s="93">
        <f ca="1">IFERROR(__xludf.DUMMYFUNCTION("IMPORTRANGE(""https://docs.google.com/spreadsheets/d/1MeEWN-I1oV_STSDYn1IFDPWt_1FKiwhDph83XaGc0o0/edit?usp=sharing"",""งบพรบ!EJ55"")"),0)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IFERROR(__xludf.DUMMYFUNCTION("IMPORTRANGE(""https://docs.google.com/spreadsheets/d/1MeEWN-I1oV_STSDYn1IFDPWt_1FKiwhDph83XaGc0o0/edit?usp=sharing"",""งบพรบ!EF55"")"),0)</f>
        <v>0</v>
      </c>
      <c r="M323" s="93">
        <f ca="1">IFERROR(__xludf.DUMMYFUNCTION("IMPORTRANGE(""https://docs.google.com/spreadsheets/d/1MeEWN-I1oV_STSDYn1IFDPWt_1FKiwhDph83XaGc0o0/edit?usp=sharing"",""งบพรบ!EI55"")"),0)</f>
        <v>0</v>
      </c>
      <c r="N323" s="93">
        <f ca="1">IFERROR(__xludf.DUMMYFUNCTION("IMPORTRANGE(""https://docs.google.com/spreadsheets/d/1MeEWN-I1oV_STSDYn1IFDPWt_1FKiwhDph83XaGc0o0/edit?usp=sharing"",""งบพรบ!EK55"")"),0)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IFERROR(__xludf.DUMMYFUNCTION("IMPORTRANGE(""https://docs.google.com/spreadsheets/d/1QqKyyYR6Q21VydFLVH3TRQUabQu_ym0Zz7PgGX0-kHA/edit?usp=sharing"",""แผน!EG55"")"),4300)</f>
        <v>4300</v>
      </c>
      <c r="J327" s="444">
        <f ca="1">J338+J341+J342+J343</f>
        <v>8368</v>
      </c>
      <c r="K327" s="445">
        <f ca="1">IF(I327&gt;0,J327*100/I327,0)</f>
        <v>194.6046511627907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1139000</v>
      </c>
      <c r="M328" s="155">
        <f t="shared" ca="1" si="149"/>
        <v>1074500</v>
      </c>
      <c r="N328" s="155">
        <f t="shared" ca="1" si="149"/>
        <v>1033840</v>
      </c>
      <c r="O328" s="155">
        <f t="shared" ref="O328:O336" ca="1" si="150">IF(L328&gt;0,N328*100/L328,0)</f>
        <v>90.767339771729581</v>
      </c>
      <c r="P328" s="155">
        <f t="shared" ref="P328:P336" ca="1" si="151">IF(M328&gt;0,N328*100/M328,0)</f>
        <v>96.215914378780823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1139000</v>
      </c>
      <c r="M330" s="93">
        <f t="shared" ca="1" si="152"/>
        <v>1074500</v>
      </c>
      <c r="N330" s="93">
        <f t="shared" ca="1" si="152"/>
        <v>1033840</v>
      </c>
      <c r="O330" s="93">
        <f t="shared" ca="1" si="150"/>
        <v>90.767339771729581</v>
      </c>
      <c r="P330" s="93">
        <f t="shared" ca="1" si="151"/>
        <v>96.215914378780823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138840</v>
      </c>
      <c r="O331" s="497">
        <f t="shared" ca="1" si="150"/>
        <v>78.440677966101688</v>
      </c>
      <c r="P331" s="497">
        <f t="shared" ca="1" si="151"/>
        <v>77.348189415041787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IFERROR(__xludf.DUMMYFUNCTION("IMPORTRANGE(""https://docs.google.com/spreadsheets/d/1MeEWN-I1oV_STSDYn1IFDPWt_1FKiwhDph83XaGc0o0/edit?usp=sharing"",""งบพรบ!EM55"")"),177000)</f>
        <v>177000</v>
      </c>
      <c r="M333" s="93">
        <f ca="1">IFERROR(__xludf.DUMMYFUNCTION("IMPORTRANGE(""https://docs.google.com/spreadsheets/d/1MeEWN-I1oV_STSDYn1IFDPWt_1FKiwhDph83XaGc0o0/edit?usp=sharing"",""งบพรบ!ER55"")"),179500)</f>
        <v>179500</v>
      </c>
      <c r="N333" s="93">
        <f ca="1">IFERROR(__xludf.DUMMYFUNCTION("IMPORTRANGE(""https://docs.google.com/spreadsheets/d/1MeEWN-I1oV_STSDYn1IFDPWt_1FKiwhDph83XaGc0o0/edit?usp=sharing"",""งบพรบ!ET55"")"),138840)</f>
        <v>138840</v>
      </c>
      <c r="O333" s="93">
        <f t="shared" ca="1" si="150"/>
        <v>78.440677966101688</v>
      </c>
      <c r="P333" s="93">
        <f t="shared" ca="1" si="151"/>
        <v>77.348189415041787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962000</v>
      </c>
      <c r="M334" s="497">
        <f t="shared" ca="1" si="154"/>
        <v>895000</v>
      </c>
      <c r="N334" s="497">
        <f t="shared" ca="1" si="154"/>
        <v>895000</v>
      </c>
      <c r="O334" s="497">
        <f t="shared" ca="1" si="150"/>
        <v>93.035343035343033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IFERROR(__xludf.DUMMYFUNCTION("IMPORTRANGE(""https://docs.google.com/spreadsheets/d/1MeEWN-I1oV_STSDYn1IFDPWt_1FKiwhDph83XaGc0o0/edit?usp=sharing"",""งบพรบ!EP55"")"),962000)</f>
        <v>962000</v>
      </c>
      <c r="M336" s="93">
        <f ca="1">IFERROR(__xludf.DUMMYFUNCTION("IMPORTRANGE(""https://docs.google.com/spreadsheets/d/1MeEWN-I1oV_STSDYn1IFDPWt_1FKiwhDph83XaGc0o0/edit?usp=sharing"",""งบพรบ!ES55"")"),895000)</f>
        <v>895000</v>
      </c>
      <c r="N336" s="93">
        <f ca="1">IFERROR(__xludf.DUMMYFUNCTION("IMPORTRANGE(""https://docs.google.com/spreadsheets/d/1MeEWN-I1oV_STSDYn1IFDPWt_1FKiwhDph83XaGc0o0/edit?usp=sharing"",""งบพรบ!EU55"")"),895000)</f>
        <v>895000</v>
      </c>
      <c r="O336" s="93">
        <f t="shared" ca="1" si="150"/>
        <v>93.035343035343033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IFERROR(__xludf.DUMMYFUNCTION("IMPORTRANGE(""https://docs.google.com/spreadsheets/d/1QqKyyYR6Q21VydFLVH3TRQUabQu_ym0Zz7PgGX0-kHA/edit?usp=sharing"",""แผน!EG55"")"),4300)</f>
        <v>4300</v>
      </c>
      <c r="J338" s="270">
        <f ca="1">IFERROR(__xludf.DUMMYFUNCTION("IMPORTRANGE(""https://docs.google.com/spreadsheets/d/1kVcqe37tkHyjCSG3S0O1AXqVkqjo8mSIZil3BcpIysc/edit?usp=sharing"",""ศูนย์!D55"")"),7422)</f>
        <v>7422</v>
      </c>
      <c r="K338" s="497">
        <f ca="1">IF(I338&gt;0,J338*100/I338,0)</f>
        <v>172.6046511627907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IFERROR(__xludf.DUMMYFUNCTION("IMPORTRANGE(""https://docs.google.com/spreadsheets/d/1QqKyyYR6Q21VydFLVH3TRQUabQu_ym0Zz7PgGX0-kHA/edit?usp=sharing"",""แผน!EH55"")"),7)</f>
        <v>7</v>
      </c>
      <c r="J340" s="270">
        <f ca="1">IFERROR(__xludf.DUMMYFUNCTION("IMPORTRANGE(""https://docs.google.com/spreadsheets/d/1kVcqe37tkHyjCSG3S0O1AXqVkqjo8mSIZil3BcpIysc/edit?usp=sharing"",""ศูนย์!E55"")"),7)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IFERROR(__xludf.DUMMYFUNCTION("IMPORTRANGE(""https://docs.google.com/spreadsheets/d/1kVcqe37tkHyjCSG3S0O1AXqVkqjo8mSIZil3BcpIysc/edit?usp=sharing"",""ศูนย์!F55"")"),946)</f>
        <v>946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1441070</v>
      </c>
      <c r="M345" s="155">
        <f t="shared" ca="1" si="155"/>
        <v>1496070</v>
      </c>
      <c r="N345" s="155">
        <f t="shared" ca="1" si="155"/>
        <v>1216421.55</v>
      </c>
      <c r="O345" s="155">
        <f t="shared" ref="O345:O353" ca="1" si="156">IF(L345&gt;0,N345*100/L345,0)</f>
        <v>84.410996689959546</v>
      </c>
      <c r="P345" s="155">
        <f t="shared" ref="P345:P353" ca="1" si="157">IF(M345&gt;0,N345*100/M345,0)</f>
        <v>81.307796426637793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1441070</v>
      </c>
      <c r="M347" s="93">
        <f t="shared" ca="1" si="158"/>
        <v>1496070</v>
      </c>
      <c r="N347" s="93">
        <f t="shared" ca="1" si="158"/>
        <v>1216421.55</v>
      </c>
      <c r="O347" s="93">
        <f t="shared" ca="1" si="156"/>
        <v>84.410996689959546</v>
      </c>
      <c r="P347" s="93">
        <f t="shared" ca="1" si="157"/>
        <v>81.307796426637793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1201270</v>
      </c>
      <c r="M348" s="497">
        <f t="shared" ca="1" si="159"/>
        <v>1256270</v>
      </c>
      <c r="N348" s="497">
        <f t="shared" ca="1" si="159"/>
        <v>976621.55</v>
      </c>
      <c r="O348" s="497">
        <f t="shared" ca="1" si="156"/>
        <v>81.299087632255862</v>
      </c>
      <c r="P348" s="497">
        <f t="shared" ca="1" si="157"/>
        <v>77.739781257213821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IFERROR(__xludf.DUMMYFUNCTION("IMPORTRANGE(""https://docs.google.com/spreadsheets/d/1MeEWN-I1oV_STSDYn1IFDPWt_1FKiwhDph83XaGc0o0/edit?usp=sharing"",""งบพรบ!EW55"")"),1201270)</f>
        <v>1201270</v>
      </c>
      <c r="M350" s="93">
        <f ca="1">IFERROR(__xludf.DUMMYFUNCTION("IMPORTRANGE(""https://docs.google.com/spreadsheets/d/1MeEWN-I1oV_STSDYn1IFDPWt_1FKiwhDph83XaGc0o0/edit?usp=sharing"",""งบพรบ!FB55"")"),1256270)</f>
        <v>1256270</v>
      </c>
      <c r="N350" s="93">
        <f ca="1">IFERROR(__xludf.DUMMYFUNCTION("IMPORTRANGE(""https://docs.google.com/spreadsheets/d/1MeEWN-I1oV_STSDYn1IFDPWt_1FKiwhDph83XaGc0o0/edit?usp=sharing"",""งบพรบ!FD55"")"),976621.55)</f>
        <v>976621.55</v>
      </c>
      <c r="O350" s="93">
        <f t="shared" ca="1" si="156"/>
        <v>81.299087632255862</v>
      </c>
      <c r="P350" s="93">
        <f t="shared" ca="1" si="157"/>
        <v>77.739781257213821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239800</v>
      </c>
      <c r="M351" s="497">
        <f t="shared" ca="1" si="160"/>
        <v>239800</v>
      </c>
      <c r="N351" s="497">
        <f t="shared" ca="1" si="160"/>
        <v>239800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IFERROR(__xludf.DUMMYFUNCTION("IMPORTRANGE(""https://docs.google.com/spreadsheets/d/1MeEWN-I1oV_STSDYn1IFDPWt_1FKiwhDph83XaGc0o0/edit?usp=sharing"",""งบพรบ!EZ55"")"),239800)</f>
        <v>239800</v>
      </c>
      <c r="M353" s="93">
        <f ca="1">IFERROR(__xludf.DUMMYFUNCTION("IMPORTRANGE(""https://docs.google.com/spreadsheets/d/1MeEWN-I1oV_STSDYn1IFDPWt_1FKiwhDph83XaGc0o0/edit?usp=sharing"",""งบพรบ!FC55"")"),239800)</f>
        <v>239800</v>
      </c>
      <c r="N353" s="93">
        <f ca="1">IFERROR(__xludf.DUMMYFUNCTION("IMPORTRANGE(""https://docs.google.com/spreadsheets/d/1MeEWN-I1oV_STSDYn1IFDPWt_1FKiwhDph83XaGc0o0/edit?usp=sharing"",""งบพรบ!FE55"")"),239800)</f>
        <v>239800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IFERROR(__xludf.DUMMYFUNCTION("IMPORTRANGE(""https://docs.google.com/spreadsheets/d/1QqKyyYR6Q21VydFLVH3TRQUabQu_ym0Zz7PgGX0-kHA/edit?usp=sharing"",""แผน!EP55"")"),550)</f>
        <v>550</v>
      </c>
      <c r="J355" s="464">
        <f ca="1">J362</f>
        <v>289</v>
      </c>
      <c r="K355" s="465">
        <f ca="1">IF(I355&gt;0,J355*100/I355,0)</f>
        <v>52.545454545454547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IFERROR(__xludf.DUMMYFUNCTION("IMPORTRANGE(""https://docs.google.com/spreadsheets/d/1XWAQStnk-4SwqDmLtmXYiTMKHgktTP8We1SCoS47DrQ/edit?usp=sharing"",""จัดที่ดิน!W55"")"),499)</f>
        <v>499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IFERROR(__xludf.DUMMYFUNCTION("IMPORTRANGE(""https://docs.google.com/spreadsheets/d/1QqKyyYR6Q21VydFLVH3TRQUabQu_ym0Zz7PgGX0-kHA/edit?usp=sharing"",""แผน!EO55"")"),5500)</f>
        <v>5500</v>
      </c>
      <c r="J359" s="270">
        <f ca="1">IFERROR(__xludf.DUMMYFUNCTION("IMPORTRANGE(""https://docs.google.com/spreadsheets/d/1XWAQStnk-4SwqDmLtmXYiTMKHgktTP8We1SCoS47DrQ/edit?usp=sharing"",""จัดที่ดิน!X55"")"),6772.24)</f>
        <v>6772.24</v>
      </c>
      <c r="K359" s="497">
        <f t="shared" ca="1" si="161"/>
        <v>123.13163636363636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IFERROR(__xludf.DUMMYFUNCTION("IMPORTRANGE(""https://docs.google.com/spreadsheets/d/1QqKyyYR6Q21VydFLVH3TRQUabQu_ym0Zz7PgGX0-kHA/edit?usp=sharing"",""แผน!EP55"")"),550)</f>
        <v>550</v>
      </c>
      <c r="J360" s="270">
        <f ca="1">IFERROR(__xludf.DUMMYFUNCTION("IMPORTRANGE(""https://docs.google.com/spreadsheets/d/1XWAQStnk-4SwqDmLtmXYiTMKHgktTP8We1SCoS47DrQ/edit?usp=sharing"",""จัดที่ดิน!Y55"")"),356)</f>
        <v>356</v>
      </c>
      <c r="K360" s="497">
        <f t="shared" ca="1" si="161"/>
        <v>64.727272727272734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IFERROR(__xludf.DUMMYFUNCTION("IMPORTRANGE(""https://docs.google.com/spreadsheets/d/1XWAQStnk-4SwqDmLtmXYiTMKHgktTP8We1SCoS47DrQ/edit?usp=sharing"",""จัดที่ดิน!Z55"")"),4550.4)</f>
        <v>4550.3999999999996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IFERROR(__xludf.DUMMYFUNCTION("IMPORTRANGE(""https://docs.google.com/spreadsheets/d/1QqKyyYR6Q21VydFLVH3TRQUabQu_ym0Zz7PgGX0-kHA/edit?usp=sharing"",""แผน!EP55"")"),550)</f>
        <v>550</v>
      </c>
      <c r="J362" s="270">
        <f ca="1">IFERROR(__xludf.DUMMYFUNCTION("IMPORTRANGE(""https://docs.google.com/spreadsheets/d/1XWAQStnk-4SwqDmLtmXYiTMKHgktTP8We1SCoS47DrQ/edit?usp=sharing"",""จัดที่ดิน!AA55"")"),289)</f>
        <v>289</v>
      </c>
      <c r="K362" s="497">
        <f t="shared" ca="1" si="161"/>
        <v>52.545454545454547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IFERROR(__xludf.DUMMYFUNCTION("IMPORTRANGE(""https://docs.google.com/spreadsheets/d/1XWAQStnk-4SwqDmLtmXYiTMKHgktTP8We1SCoS47DrQ/edit?usp=sharing"",""จัดที่ดิน!AB55"")"),3784.06)</f>
        <v>3784.06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950</v>
      </c>
      <c r="J364" s="478">
        <f t="shared" ca="1" si="162"/>
        <v>510</v>
      </c>
      <c r="K364" s="479">
        <f t="shared" ca="1" si="161"/>
        <v>53.684210526315788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IFERROR(__xludf.DUMMYFUNCTION("IMPORTRANGE(""https://docs.google.com/spreadsheets/d/1QqKyyYR6Q21VydFLVH3TRQUabQu_ym0Zz7PgGX0-kHA/edit?usp=sharing"",""แผน!EJ55"")"),200)</f>
        <v>200</v>
      </c>
      <c r="J365" s="490">
        <f ca="1">J372</f>
        <v>151</v>
      </c>
      <c r="K365" s="491">
        <f t="shared" ca="1" si="161"/>
        <v>75.5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IFERROR(__xludf.DUMMYFUNCTION("IMPORTRANGE(""https://docs.google.com/spreadsheets/d/1XWAQStnk-4SwqDmLtmXYiTMKHgktTP8We1SCoS47DrQ/edit?usp=sharing"",""จัดที่ดิน!E55"")"),267)</f>
        <v>267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IFERROR(__xludf.DUMMYFUNCTION("IMPORTRANGE(""https://docs.google.com/spreadsheets/d/1QqKyyYR6Q21VydFLVH3TRQUabQu_ym0Zz7PgGX0-kHA/edit?usp=sharing"",""แผน!EI55"")"),2000)</f>
        <v>2000</v>
      </c>
      <c r="J369" s="270">
        <f ca="1">IFERROR(__xludf.DUMMYFUNCTION("IMPORTRANGE(""https://docs.google.com/spreadsheets/d/1XWAQStnk-4SwqDmLtmXYiTMKHgktTP8We1SCoS47DrQ/edit?usp=sharing"",""จัดที่ดิน!F55"")"),4359.66)</f>
        <v>4359.66</v>
      </c>
      <c r="K369" s="497">
        <f t="shared" ca="1" si="163"/>
        <v>217.983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IFERROR(__xludf.DUMMYFUNCTION("IMPORTRANGE(""https://docs.google.com/spreadsheets/d/1QqKyyYR6Q21VydFLVH3TRQUabQu_ym0Zz7PgGX0-kHA/edit?usp=sharing"",""แผน!EJ55"")"),200)</f>
        <v>200</v>
      </c>
      <c r="J370" s="270">
        <f ca="1">IFERROR(__xludf.DUMMYFUNCTION("IMPORTRANGE(""https://docs.google.com/spreadsheets/d/1XWAQStnk-4SwqDmLtmXYiTMKHgktTP8We1SCoS47DrQ/edit?usp=sharing"",""จัดที่ดิน!G55"")"),170)</f>
        <v>170</v>
      </c>
      <c r="K370" s="497">
        <f t="shared" ca="1" si="163"/>
        <v>85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IFERROR(__xludf.DUMMYFUNCTION("IMPORTRANGE(""https://docs.google.com/spreadsheets/d/1XWAQStnk-4SwqDmLtmXYiTMKHgktTP8We1SCoS47DrQ/edit?usp=sharing"",""จัดที่ดิน!H55"")"),2631.64)</f>
        <v>2631.64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IFERROR(__xludf.DUMMYFUNCTION("IMPORTRANGE(""https://docs.google.com/spreadsheets/d/1QqKyyYR6Q21VydFLVH3TRQUabQu_ym0Zz7PgGX0-kHA/edit?usp=sharing"",""แผน!EJ55"")"),200)</f>
        <v>200</v>
      </c>
      <c r="J372" s="270">
        <f ca="1">IFERROR(__xludf.DUMMYFUNCTION("IMPORTRANGE(""https://docs.google.com/spreadsheets/d/1XWAQStnk-4SwqDmLtmXYiTMKHgktTP8We1SCoS47DrQ/edit?usp=sharing"",""จัดที่ดิน!I55"")"),151)</f>
        <v>151</v>
      </c>
      <c r="K372" s="497">
        <f t="shared" ca="1" si="163"/>
        <v>75.5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IFERROR(__xludf.DUMMYFUNCTION("IMPORTRANGE(""https://docs.google.com/spreadsheets/d/1XWAQStnk-4SwqDmLtmXYiTMKHgktTP8We1SCoS47DrQ/edit?usp=sharing"",""จัดที่ดิน!J55"")"),2287.94)</f>
        <v>2287.94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IFERROR(__xludf.DUMMYFUNCTION("IMPORTRANGE(""https://docs.google.com/spreadsheets/d/1QqKyyYR6Q21VydFLVH3TRQUabQu_ym0Zz7PgGX0-kHA/edit?usp=sharing"",""แผน!EU55"")"),750)</f>
        <v>750</v>
      </c>
      <c r="J374" s="490">
        <f ca="1">J381</f>
        <v>359</v>
      </c>
      <c r="K374" s="491">
        <f t="shared" ca="1" si="163"/>
        <v>47.866666666666667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IFERROR(__xludf.DUMMYFUNCTION("IMPORTRANGE(""https://docs.google.com/spreadsheets/d/1XWAQStnk-4SwqDmLtmXYiTMKHgktTP8We1SCoS47DrQ/edit?usp=sharing"",""จัดที่ดิน!AH55"")"),232)</f>
        <v>232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IFERROR(__xludf.DUMMYFUNCTION("IMPORTRANGE(""https://docs.google.com/spreadsheets/d/1QqKyyYR6Q21VydFLVH3TRQUabQu_ym0Zz7PgGX0-kHA/edit?usp=sharing"",""แผน!ET55"")"),3500)</f>
        <v>3500</v>
      </c>
      <c r="J378" s="270">
        <f ca="1">IFERROR(__xludf.DUMMYFUNCTION("IMPORTRANGE(""https://docs.google.com/spreadsheets/d/1XWAQStnk-4SwqDmLtmXYiTMKHgktTP8We1SCoS47DrQ/edit?usp=sharing"",""จัดที่ดิน!AI55"")"),2412.58)</f>
        <v>2412.58</v>
      </c>
      <c r="K378" s="497">
        <f t="shared" ca="1" si="164"/>
        <v>68.93085714285715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IFERROR(__xludf.DUMMYFUNCTION("IMPORTRANGE(""https://docs.google.com/spreadsheets/d/1QqKyyYR6Q21VydFLVH3TRQUabQu_ym0Zz7PgGX0-kHA/edit?usp=sharing"",""แผน!EU55"")"),750)</f>
        <v>750</v>
      </c>
      <c r="J379" s="270">
        <f ca="1">IFERROR(__xludf.DUMMYFUNCTION("IMPORTRANGE(""https://docs.google.com/spreadsheets/d/1XWAQStnk-4SwqDmLtmXYiTMKHgktTP8We1SCoS47DrQ/edit?usp=sharing"",""จัดที่ดิน!AJ55"")"),407)</f>
        <v>407</v>
      </c>
      <c r="K379" s="497">
        <f t="shared" ca="1" si="164"/>
        <v>54.266666666666666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IFERROR(__xludf.DUMMYFUNCTION("IMPORTRANGE(""https://docs.google.com/spreadsheets/d/1XWAQStnk-4SwqDmLtmXYiTMKHgktTP8We1SCoS47DrQ/edit?usp=sharing"",""จัดที่ดิน!AK55"")"),5661.07)</f>
        <v>5661.07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IFERROR(__xludf.DUMMYFUNCTION("IMPORTRANGE(""https://docs.google.com/spreadsheets/d/1QqKyyYR6Q21VydFLVH3TRQUabQu_ym0Zz7PgGX0-kHA/edit?usp=sharing"",""แผน!EU55"")"),750)</f>
        <v>750</v>
      </c>
      <c r="J381" s="270">
        <f ca="1">IFERROR(__xludf.DUMMYFUNCTION("IMPORTRANGE(""https://docs.google.com/spreadsheets/d/1XWAQStnk-4SwqDmLtmXYiTMKHgktTP8We1SCoS47DrQ/edit?usp=sharing"",""จัดที่ดิน!AL55"")"),359)</f>
        <v>359</v>
      </c>
      <c r="K381" s="497">
        <f t="shared" ca="1" si="164"/>
        <v>47.866666666666667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IFERROR(__xludf.DUMMYFUNCTION("IMPORTRANGE(""https://docs.google.com/spreadsheets/d/1XWAQStnk-4SwqDmLtmXYiTMKHgktTP8We1SCoS47DrQ/edit?usp=sharing"",""จัดที่ดิน!AM55"")"),5238.43)</f>
        <v>5238.43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IFERROR(__xludf.DUMMYFUNCTION("IMPORTRANGE(""https://docs.google.com/spreadsheets/d/1QqKyyYR6Q21VydFLVH3TRQUabQu_ym0Zz7PgGX0-kHA/edit?usp=sharing"",""แผน!EW55"")"),50)</f>
        <v>50</v>
      </c>
      <c r="J385" s="501">
        <f ca="1">IFERROR(__xludf.DUMMYFUNCTION("IMPORTRANGE(""https://docs.google.com/spreadsheets/d/1XWAQStnk-4SwqDmLtmXYiTMKHgktTP8We1SCoS47DrQ/edit?usp=sharing"",""จัดที่ดิน!AP55"")"),7)</f>
        <v>7</v>
      </c>
      <c r="K385" s="502">
        <f ca="1">IF(I385&gt;0,J385*100/I385,0)</f>
        <v>14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IFERROR(__xludf.DUMMYFUNCTION("IMPORTRANGE(""https://docs.google.com/spreadsheets/d/1MeEWN-I1oV_STSDYn1IFDPWt_1FKiwhDph83XaGc0o0/edit?usp=sharing"",""งบพรบ!FG55"")"),0)</f>
        <v>0</v>
      </c>
      <c r="M394" s="93">
        <f ca="1">IFERROR(__xludf.DUMMYFUNCTION("IMPORTRANGE(""https://docs.google.com/spreadsheets/d/1MeEWN-I1oV_STSDYn1IFDPWt_1FKiwhDph83XaGc0o0/edit?usp=sharing"",""งบพรบ!FL55"")"),0)</f>
        <v>0</v>
      </c>
      <c r="N394" s="93">
        <f ca="1">IFERROR(__xludf.DUMMYFUNCTION("IMPORTRANGE(""https://docs.google.com/spreadsheets/d/1MeEWN-I1oV_STSDYn1IFDPWt_1FKiwhDph83XaGc0o0/edit?usp=sharing"",""งบพรบ!FN55"")"),0)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IFERROR(__xludf.DUMMYFUNCTION("IMPORTRANGE(""https://docs.google.com/spreadsheets/d/1MeEWN-I1oV_STSDYn1IFDPWt_1FKiwhDph83XaGc0o0/edit?usp=sharing"",""งบพรบ!FJ55"")"),0)</f>
        <v>0</v>
      </c>
      <c r="M397" s="93">
        <f ca="1">IFERROR(__xludf.DUMMYFUNCTION("IMPORTRANGE(""https://docs.google.com/spreadsheets/d/1MeEWN-I1oV_STSDYn1IFDPWt_1FKiwhDph83XaGc0o0/edit?usp=sharing"",""งบพรบ!FM55"")"),0)</f>
        <v>0</v>
      </c>
      <c r="N397" s="93">
        <f ca="1">IFERROR(__xludf.DUMMYFUNCTION("IMPORTRANGE(""https://docs.google.com/spreadsheets/d/1MeEWN-I1oV_STSDYn1IFDPWt_1FKiwhDph83XaGc0o0/edit?usp=sharing"",""งบพรบ!FO55"")"),0)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IFERROR(__xludf.DUMMYFUNCTION("IMPORTRANGE(""https://docs.google.com/spreadsheets/d/1MeEWN-I1oV_STSDYn1IFDPWt_1FKiwhDph83XaGc0o0/edit?usp=sharing"",""งบพรบ!FQ55"")"),0)</f>
        <v>0</v>
      </c>
      <c r="M407" s="93">
        <f ca="1">IFERROR(__xludf.DUMMYFUNCTION("IMPORTRANGE(""https://docs.google.com/spreadsheets/d/1MeEWN-I1oV_STSDYn1IFDPWt_1FKiwhDph83XaGc0o0/edit?usp=sharing"",""งบพรบ!FV55"")"),0)</f>
        <v>0</v>
      </c>
      <c r="N407" s="93">
        <f ca="1">IFERROR(__xludf.DUMMYFUNCTION("IMPORTRANGE(""https://docs.google.com/spreadsheets/d/1MeEWN-I1oV_STSDYn1IFDPWt_1FKiwhDph83XaGc0o0/edit?usp=sharing"",""งบพรบ!FX55"")"),0)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IFERROR(__xludf.DUMMYFUNCTION("IMPORTRANGE(""https://docs.google.com/spreadsheets/d/1MeEWN-I1oV_STSDYn1IFDPWt_1FKiwhDph83XaGc0o0/edit?usp=sharing"",""งบพรบ!FT55"")"),0)</f>
        <v>0</v>
      </c>
      <c r="M410" s="93">
        <f ca="1">IFERROR(__xludf.DUMMYFUNCTION("IMPORTRANGE(""https://docs.google.com/spreadsheets/d/1MeEWN-I1oV_STSDYn1IFDPWt_1FKiwhDph83XaGc0o0/edit?usp=sharing"",""งบพรบ!FW55"")"),0)</f>
        <v>0</v>
      </c>
      <c r="N410" s="93">
        <f ca="1">IFERROR(__xludf.DUMMYFUNCTION("IMPORTRANGE(""https://docs.google.com/spreadsheets/d/1MeEWN-I1oV_STSDYn1IFDPWt_1FKiwhDph83XaGc0o0/edit?usp=sharing"",""งบพรบ!FY55"")"),0)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1938698</v>
      </c>
      <c r="M414" s="549">
        <f t="shared" ca="1" si="181"/>
        <v>1938698</v>
      </c>
      <c r="N414" s="549">
        <f t="shared" si="181"/>
        <v>1405003.75</v>
      </c>
      <c r="O414" s="549">
        <f ca="1">IF(L414&gt;0,N414*100/L414,0)</f>
        <v>72.471511808440511</v>
      </c>
      <c r="P414" s="549">
        <f ca="1">IF(M414&gt;0,N414*100/M414,0)</f>
        <v>72.471511808440511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40</v>
      </c>
      <c r="J417" s="565">
        <f t="shared" ca="1" si="182"/>
        <v>40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133680</v>
      </c>
      <c r="M419" s="155">
        <f t="shared" ca="1" si="184"/>
        <v>133680</v>
      </c>
      <c r="N419" s="155">
        <f t="shared" si="184"/>
        <v>129950.1</v>
      </c>
      <c r="O419" s="155">
        <f t="shared" ref="O419:O424" ca="1" si="185">IF(L419&gt;0,N419*100/L419,0)</f>
        <v>97.209829443447035</v>
      </c>
      <c r="P419" s="155">
        <f t="shared" ref="P419:P424" ca="1" si="186">IF(M419&gt;0,N419*100/M419,0)</f>
        <v>97.209829443447035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133680</v>
      </c>
      <c r="M421" s="93">
        <f t="shared" ca="1" si="187"/>
        <v>133680</v>
      </c>
      <c r="N421" s="93">
        <f t="shared" si="187"/>
        <v>129950.1</v>
      </c>
      <c r="O421" s="93">
        <f t="shared" ca="1" si="185"/>
        <v>97.209829443447035</v>
      </c>
      <c r="P421" s="93">
        <f t="shared" ca="1" si="186"/>
        <v>97.209829443447035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133680</v>
      </c>
      <c r="M422" s="497">
        <f t="shared" ca="1" si="188"/>
        <v>133680</v>
      </c>
      <c r="N422" s="497">
        <f t="shared" si="188"/>
        <v>129950.1</v>
      </c>
      <c r="O422" s="497">
        <f t="shared" ca="1" si="185"/>
        <v>97.209829443447035</v>
      </c>
      <c r="P422" s="497">
        <f t="shared" ca="1" si="186"/>
        <v>97.209829443447035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IFERROR(__xludf.DUMMYFUNCTION("IMPORTRANGE(""https://docs.google.com/spreadsheets/d/1QqKyyYR6Q21VydFLVH3TRQUabQu_ym0Zz7PgGX0-kHA/edit?usp=sharing"",""แผน!EY55"")"),133680)</f>
        <v>133680</v>
      </c>
      <c r="M424" s="93">
        <f ca="1">L424</f>
        <v>133680</v>
      </c>
      <c r="N424" s="93">
        <f>N425+N426+N427+N428</f>
        <v>129950.1</v>
      </c>
      <c r="O424" s="93">
        <f t="shared" ca="1" si="185"/>
        <v>97.209829443447035</v>
      </c>
      <c r="P424" s="93">
        <f t="shared" ca="1" si="186"/>
        <v>97.209829443447035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99620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129950.1-99620</f>
        <v>30330.100000000006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40</v>
      </c>
      <c r="J433" s="676">
        <f ca="1">IF(AND(J435=I435,J437=I437,J439=I439),I437+I439,IF(AND(J435=I437,J437=I437),I437,IF(AND(J435=I439,J439=I439),I439,0)))</f>
        <v>40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IFERROR(__xludf.DUMMYFUNCTION("IMPORTRANGE(""https://docs.google.com/spreadsheets/d/1QqKyyYR6Q21VydFLVH3TRQUabQu_ym0Zz7PgGX0-kHA/edit?usp=sharing"",""แผน!FC55"")"),40)</f>
        <v>40</v>
      </c>
      <c r="J435" s="579">
        <v>40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IFERROR(__xludf.DUMMYFUNCTION("IMPORTRANGE(""https://docs.google.com/spreadsheets/d/1QqKyyYR6Q21VydFLVH3TRQUabQu_ym0Zz7PgGX0-kHA/edit?usp=sharing"",""แผน!FD55"")"),20)</f>
        <v>20</v>
      </c>
      <c r="J437" s="579">
        <v>20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IFERROR(__xludf.DUMMYFUNCTION("IMPORTRANGE(""https://docs.google.com/spreadsheets/d/1QqKyyYR6Q21VydFLVH3TRQUabQu_ym0Zz7PgGX0-kHA/edit?usp=sharing"",""แผน!FE55"")"),1)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55</v>
      </c>
      <c r="J442" s="585">
        <f t="shared" si="195"/>
        <v>55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55</v>
      </c>
      <c r="J443" s="565">
        <f t="shared" si="196"/>
        <v>55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331500</v>
      </c>
      <c r="M444" s="195">
        <f t="shared" ca="1" si="197"/>
        <v>331500</v>
      </c>
      <c r="N444" s="195">
        <f t="shared" si="197"/>
        <v>277880</v>
      </c>
      <c r="O444" s="195">
        <f t="shared" ref="O444:O449" ca="1" si="198">IF(L444&gt;0,N444*100/L444,0)</f>
        <v>83.825037707390649</v>
      </c>
      <c r="P444" s="195">
        <f t="shared" ref="P444:P449" ca="1" si="199">IF(M444&gt;0,N444*100/M444,0)</f>
        <v>83.825037707390649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331500</v>
      </c>
      <c r="M446" s="93">
        <f t="shared" ca="1" si="200"/>
        <v>331500</v>
      </c>
      <c r="N446" s="93">
        <f t="shared" si="200"/>
        <v>277880</v>
      </c>
      <c r="O446" s="93">
        <f t="shared" ca="1" si="198"/>
        <v>83.825037707390649</v>
      </c>
      <c r="P446" s="93">
        <f t="shared" ca="1" si="199"/>
        <v>83.825037707390649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331500</v>
      </c>
      <c r="M447" s="497">
        <f t="shared" ca="1" si="201"/>
        <v>331500</v>
      </c>
      <c r="N447" s="497">
        <f t="shared" si="201"/>
        <v>277880</v>
      </c>
      <c r="O447" s="497">
        <f t="shared" ca="1" si="198"/>
        <v>83.825037707390649</v>
      </c>
      <c r="P447" s="497">
        <f t="shared" ca="1" si="199"/>
        <v>83.825037707390649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IFERROR(__xludf.DUMMYFUNCTION("IMPORTRANGE(""https://docs.google.com/spreadsheets/d/1QqKyyYR6Q21VydFLVH3TRQUabQu_ym0Zz7PgGX0-kHA/edit?usp=sharing"",""แผน!FJ55"")"),331500)</f>
        <v>331500</v>
      </c>
      <c r="M449" s="93">
        <f ca="1">L449</f>
        <v>331500</v>
      </c>
      <c r="N449" s="93">
        <f>N450+N451+N452+N453</f>
        <v>277880</v>
      </c>
      <c r="O449" s="93">
        <f t="shared" ca="1" si="198"/>
        <v>83.825037707390649</v>
      </c>
      <c r="P449" s="93">
        <f t="shared" ca="1" si="199"/>
        <v>83.825037707390649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73000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64000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104000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277880-73000-64000-104000</f>
        <v>36880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IFERROR(__xludf.DUMMYFUNCTION("IMPORTRANGE(""https://docs.google.com/spreadsheets/d/1QqKyyYR6Q21VydFLVH3TRQUabQu_ym0Zz7PgGX0-kHA/edit?usp=sharing"",""แผน!FN55"")"),55)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IFERROR(__xludf.DUMMYFUNCTION("IMPORTRANGE(""https://docs.google.com/spreadsheets/d/1QqKyyYR6Q21VydFLVH3TRQUabQu_ym0Zz7PgGX0-kHA/edit?usp=sharing"",""แผน!FO55"")"),55)</f>
        <v>55</v>
      </c>
      <c r="J462" s="215">
        <v>55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IFERROR(__xludf.DUMMYFUNCTION("IMPORTRANGE(""https://docs.google.com/spreadsheets/d/1QqKyyYR6Q21VydFLVH3TRQUabQu_ym0Zz7PgGX0-kHA/edit?usp=sharing"",""แผน!FO55"")"),55)</f>
        <v>55</v>
      </c>
      <c r="J463" s="215">
        <v>55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IFERROR(__xludf.DUMMYFUNCTION("IMPORTRANGE(""https://docs.google.com/spreadsheets/d/1QqKyyYR6Q21VydFLVH3TRQUabQu_ym0Zz7PgGX0-kHA/edit?usp=sharing"",""แผน!FN55"")"),55)</f>
        <v>55</v>
      </c>
      <c r="J464" s="215">
        <v>55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IFERROR(__xludf.DUMMYFUNCTION("IMPORTRANGE(""https://docs.google.com/spreadsheets/d/1QqKyyYR6Q21VydFLVH3TRQUabQu_ym0Zz7PgGX0-kHA/edit?usp=sharing"",""แผน!FX55"")"),131)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IFERROR(__xludf.DUMMYFUNCTION("IMPORTRANGE(""https://docs.google.com/spreadsheets/d/1QqKyyYR6Q21VydFLVH3TRQUabQu_ym0Zz7PgGX0-kHA/edit?usp=sharing"",""แผน!FW55"")"),1300)</f>
        <v>1300</v>
      </c>
      <c r="J466" s="565">
        <f>J495+J498</f>
        <v>1300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1166418</v>
      </c>
      <c r="M467" s="195">
        <f t="shared" ca="1" si="206"/>
        <v>1166418</v>
      </c>
      <c r="N467" s="195">
        <f t="shared" si="206"/>
        <v>808590.35</v>
      </c>
      <c r="O467" s="195">
        <f t="shared" ref="O467:O472" ca="1" si="207">IF(L467&gt;0,N467*100/L467,0)</f>
        <v>69.322519885667063</v>
      </c>
      <c r="P467" s="195">
        <f t="shared" ref="P467:P472" ca="1" si="208">IF(M467&gt;0,N467*100/M467,0)</f>
        <v>69.322519885667063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1166418</v>
      </c>
      <c r="M469" s="93">
        <f t="shared" ca="1" si="209"/>
        <v>1166418</v>
      </c>
      <c r="N469" s="93">
        <f t="shared" si="209"/>
        <v>808590.35</v>
      </c>
      <c r="O469" s="93">
        <f t="shared" ca="1" si="207"/>
        <v>69.322519885667063</v>
      </c>
      <c r="P469" s="93">
        <f t="shared" ca="1" si="208"/>
        <v>69.322519885667063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1166418</v>
      </c>
      <c r="M470" s="497">
        <f t="shared" ca="1" si="210"/>
        <v>1166418</v>
      </c>
      <c r="N470" s="497">
        <f t="shared" si="210"/>
        <v>808590.35</v>
      </c>
      <c r="O470" s="497">
        <f t="shared" ca="1" si="207"/>
        <v>69.322519885667063</v>
      </c>
      <c r="P470" s="497">
        <f t="shared" ca="1" si="208"/>
        <v>69.322519885667063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IFERROR(__xludf.DUMMYFUNCTION("IMPORTRANGE(""https://docs.google.com/spreadsheets/d/1QqKyyYR6Q21VydFLVH3TRQUabQu_ym0Zz7PgGX0-kHA/edit?usp=sharing"",""แผน!FS55"")"),1166418)</f>
        <v>1166418</v>
      </c>
      <c r="M472" s="93">
        <f ca="1">L472</f>
        <v>1166418</v>
      </c>
      <c r="N472" s="93">
        <f>N473+N474+N475+N476</f>
        <v>808590.35</v>
      </c>
      <c r="O472" s="93">
        <f t="shared" ca="1" si="207"/>
        <v>69.322519885667063</v>
      </c>
      <c r="P472" s="93">
        <f t="shared" ca="1" si="208"/>
        <v>69.322519885667063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148065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542100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88833.35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29592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IFERROR(__xludf.DUMMYFUNCTION("IMPORTRANGE(""https://docs.google.com/spreadsheets/d/1QqKyyYR6Q21VydFLVH3TRQUabQu_ym0Zz7PgGX0-kHA/edit?usp=sharing"",""แผน!FY55"")"),1170)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IFERROR(__xludf.DUMMYFUNCTION("IMPORTRANGE(""https://docs.google.com/spreadsheets/d/1QqKyyYR6Q21VydFLVH3TRQUabQu_ym0Zz7PgGX0-kHA/edit?usp=sharing"",""แผน!GA55"")"),130)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261500</v>
      </c>
      <c r="M544" s="155">
        <f t="shared" ca="1" si="236"/>
        <v>261500</v>
      </c>
      <c r="N544" s="155">
        <f t="shared" si="236"/>
        <v>180938.3</v>
      </c>
      <c r="O544" s="155">
        <f t="shared" ref="O544:O549" ca="1" si="237">IF(L544&gt;0,N544*100/L544,0)</f>
        <v>69.192466539196943</v>
      </c>
      <c r="P544" s="155">
        <f t="shared" ref="P544:P549" ca="1" si="238">IF(M544&gt;0,N544*100/M544,0)</f>
        <v>69.192466539196943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261500</v>
      </c>
      <c r="M546" s="93">
        <f t="shared" ca="1" si="240"/>
        <v>261500</v>
      </c>
      <c r="N546" s="93">
        <f t="shared" si="240"/>
        <v>180938.3</v>
      </c>
      <c r="O546" s="93">
        <f t="shared" ca="1" si="237"/>
        <v>69.192466539196943</v>
      </c>
      <c r="P546" s="93">
        <f t="shared" ca="1" si="238"/>
        <v>69.192466539196943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261500</v>
      </c>
      <c r="M547" s="497">
        <f t="shared" ca="1" si="241"/>
        <v>261500</v>
      </c>
      <c r="N547" s="497">
        <f t="shared" si="241"/>
        <v>180938.3</v>
      </c>
      <c r="O547" s="497">
        <f t="shared" ca="1" si="237"/>
        <v>69.192466539196943</v>
      </c>
      <c r="P547" s="497">
        <f t="shared" ca="1" si="238"/>
        <v>69.192466539196943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IFERROR(__xludf.DUMMYFUNCTION("IMPORTRANGE(""https://docs.google.com/spreadsheets/d/1QqKyyYR6Q21VydFLVH3TRQUabQu_ym0Zz7PgGX0-kHA/edit?usp=sharing"",""แผน!HB55"")"),261500)</f>
        <v>261500</v>
      </c>
      <c r="M549" s="93">
        <f ca="1">L549</f>
        <v>261500</v>
      </c>
      <c r="N549" s="93">
        <f>N550+N551+N552+N553+N554</f>
        <v>180938.3</v>
      </c>
      <c r="O549" s="93">
        <f t="shared" ca="1" si="237"/>
        <v>69.192466539196943</v>
      </c>
      <c r="P549" s="93">
        <f t="shared" ca="1" si="238"/>
        <v>69.192466539196943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104000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180938.3-104000</f>
        <v>76938.299999999988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1072.8599999999999</v>
      </c>
      <c r="J592" s="703">
        <f t="shared" si="253"/>
        <v>633</v>
      </c>
      <c r="K592" s="672">
        <f t="shared" ref="K592:K594" ca="1" si="254">IF(I592&gt;0,J592*100/I592,0)</f>
        <v>59.001174430960241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IFERROR(__xludf.DUMMYFUNCTION("IMPORTRANGE(""https://docs.google.com/spreadsheets/d/1QqKyyYR6Q21VydFLVH3TRQUabQu_ym0Zz7PgGX0-kHA/edit?usp=sharing"",""แผน!HJ55"")"),1072.86)</f>
        <v>1072.8599999999999</v>
      </c>
      <c r="J593" s="193">
        <f t="shared" ref="J593:J594" si="255">J595+J603+J609</f>
        <v>633</v>
      </c>
      <c r="K593" s="411">
        <f t="shared" ca="1" si="254"/>
        <v>59.001174430960241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IFERROR(__xludf.DUMMYFUNCTION("IMPORTRANGE(""https://docs.google.com/spreadsheets/d/1QqKyyYR6Q21VydFLVH3TRQUabQu_ym0Zz7PgGX0-kHA/edit?usp=sharing"",""แผน!HI55"")"),165)</f>
        <v>165</v>
      </c>
      <c r="J594" s="193">
        <f t="shared" si="255"/>
        <v>73</v>
      </c>
      <c r="K594" s="411">
        <f t="shared" ca="1" si="254"/>
        <v>44.242424242424242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548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61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548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/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63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22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IFERROR(__xludf.DUMMYFUNCTION("IMPORTRANGE(""https://docs.google.com/spreadsheets/d/1XWAQStnk-4SwqDmLtmXYiTMKHgktTP8We1SCoS47DrQ/edit?usp=sharing"",""จัดที่ดิน!AS55"")"),55)</f>
        <v>55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IFERROR(__xludf.DUMMYFUNCTION("IMPORTRANGE(""https://docs.google.com/spreadsheets/d/1XWAQStnk-4SwqDmLtmXYiTMKHgktTP8We1SCoS47DrQ/edit?usp=sharing"",""จัดที่ดิน!AT55"")"),96.37)</f>
        <v>96.37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IFERROR(__xludf.DUMMYFUNCTION("IMPORTRANGE(""https://docs.google.com/spreadsheets/d/1QqKyyYR6Q21VydFLVH3TRQUabQu_ym0Zz7PgGX0-kHA/edit?usp=sharing"",""แผน!HS55"")"),0)</f>
        <v>0</v>
      </c>
      <c r="J647" s="270">
        <f ca="1">IFERROR(__xludf.DUMMYFUNCTION("IMPORTRANGE(""https://docs.google.com/spreadsheets/d/1XWAQStnk-4SwqDmLtmXYiTMKHgktTP8We1SCoS47DrQ/edit?usp=sharing"",""จัดที่ดิน!AU55"")"),1)</f>
        <v>1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IFERROR(__xludf.DUMMYFUNCTION("IMPORTRANGE(""https://docs.google.com/spreadsheets/d/1XWAQStnk-4SwqDmLtmXYiTMKHgktTP8We1SCoS47DrQ/edit?usp=sharing"",""จัดที่ดิน!AV55"")"),0.15)</f>
        <v>0.15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IFERROR(__xludf.DUMMYFUNCTION("IMPORTRANGE(""https://docs.google.com/spreadsheets/d/1QqKyyYR6Q21VydFLVH3TRQUabQu_ym0Zz7PgGX0-kHA/edit?usp=sharing"",""แผน!HS55"")"),0)</f>
        <v>0</v>
      </c>
      <c r="J649" s="270">
        <f ca="1">IFERROR(__xludf.DUMMYFUNCTION("IMPORTRANGE(""https://docs.google.com/spreadsheets/d/1XWAQStnk-4SwqDmLtmXYiTMKHgktTP8We1SCoS47DrQ/edit?usp=sharing"",""จัดที่ดิน!AW55"")"),0)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IFERROR(__xludf.DUMMYFUNCTION("IMPORTRANGE(""https://docs.google.com/spreadsheets/d/1QqKyyYR6Q21VydFLVH3TRQUabQu_ym0Zz7PgGX0-kHA/edit?usp=sharing"",""แผน!HS55"")"),0)</f>
        <v>0</v>
      </c>
      <c r="J651" s="270">
        <f ca="1">IFERROR(__xludf.DUMMYFUNCTION("IMPORTRANGE(""https://docs.google.com/spreadsheets/d/1XWAQStnk-4SwqDmLtmXYiTMKHgktTP8We1SCoS47DrQ/edit?usp=sharing"",""จัดที่ดิน!AY55"")"),0)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3500</v>
      </c>
      <c r="O655" s="195">
        <f t="shared" ref="O655:O660" ca="1" si="274">IF(L655&gt;0,N655*100/L655,0)</f>
        <v>25</v>
      </c>
      <c r="P655" s="195">
        <f t="shared" ref="P655:P660" ca="1" si="275">IF(M655&gt;0,N655*100/M655,0)</f>
        <v>25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3500</v>
      </c>
      <c r="O657" s="93">
        <f t="shared" ca="1" si="274"/>
        <v>25</v>
      </c>
      <c r="P657" s="93">
        <f t="shared" ca="1" si="275"/>
        <v>25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3500</v>
      </c>
      <c r="O658" s="497">
        <f t="shared" ca="1" si="274"/>
        <v>25</v>
      </c>
      <c r="P658" s="497">
        <f t="shared" ca="1" si="275"/>
        <v>25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IFERROR(__xludf.DUMMYFUNCTION("IMPORTRANGE(""https://docs.google.com/spreadsheets/d/1QqKyyYR6Q21VydFLVH3TRQUabQu_ym0Zz7PgGX0-kHA/edit?usp=sharing"",""แผน!HV55"")"),14000)</f>
        <v>14000</v>
      </c>
      <c r="M660" s="93">
        <f ca="1">L660</f>
        <v>14000</v>
      </c>
      <c r="N660" s="93">
        <f>N661+N662+N663+N664</f>
        <v>3500</v>
      </c>
      <c r="O660" s="93">
        <f t="shared" ca="1" si="274"/>
        <v>25</v>
      </c>
      <c r="P660" s="93">
        <f t="shared" ca="1" si="275"/>
        <v>25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f>1000+2500</f>
        <v>3500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IFERROR(__xludf.DUMMYFUNCTION("IMPORTRANGE(""https://docs.google.com/spreadsheets/d/1QqKyyYR6Q21VydFLVH3TRQUabQu_ym0Zz7PgGX0-kHA/edit?usp=sharing"",""แผน!IA55"")"),100)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179</v>
      </c>
      <c r="K672" s="497">
        <f t="shared" ref="K672:K675" ca="1" si="281">IF(I$669&gt;0,J672*100/I$669,0)</f>
        <v>179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179</v>
      </c>
      <c r="K673" s="497">
        <f t="shared" ca="1" si="281"/>
        <v>179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31600</v>
      </c>
      <c r="M685" s="195">
        <f t="shared" ca="1" si="282"/>
        <v>31600</v>
      </c>
      <c r="N685" s="195">
        <f t="shared" si="282"/>
        <v>4145</v>
      </c>
      <c r="O685" s="195">
        <f t="shared" ref="O685:O688" ca="1" si="283">IF(L685&gt;0,N685*100/L685,0)</f>
        <v>13.117088607594937</v>
      </c>
      <c r="P685" s="195">
        <f t="shared" ref="P685:P688" ca="1" si="284">IF(M685&gt;0,N685*100/M685,0)</f>
        <v>13.117088607594937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31600</v>
      </c>
      <c r="M687" s="93">
        <f t="shared" ca="1" si="285"/>
        <v>31600</v>
      </c>
      <c r="N687" s="93">
        <f t="shared" si="285"/>
        <v>4145</v>
      </c>
      <c r="O687" s="93">
        <f t="shared" ca="1" si="283"/>
        <v>13.117088607594937</v>
      </c>
      <c r="P687" s="93">
        <f t="shared" ca="1" si="284"/>
        <v>13.117088607594937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31600</v>
      </c>
      <c r="M688" s="497">
        <f t="shared" ca="1" si="286"/>
        <v>31600</v>
      </c>
      <c r="N688" s="497">
        <f t="shared" si="286"/>
        <v>4145</v>
      </c>
      <c r="O688" s="497">
        <f t="shared" ca="1" si="283"/>
        <v>13.117088607594937</v>
      </c>
      <c r="P688" s="497">
        <f t="shared" ca="1" si="284"/>
        <v>13.117088607594937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IFERROR(__xludf.DUMMYFUNCTION("IMPORTRANGE(""https://docs.google.com/spreadsheets/d/1QqKyyYR6Q21VydFLVH3TRQUabQu_ym0Zz7PgGX0-kHA/edit?usp=sharing"",""แผน!HW55"")"),31600)</f>
        <v>31600</v>
      </c>
      <c r="M690" s="93">
        <f ca="1">L690</f>
        <v>31600</v>
      </c>
      <c r="N690" s="93">
        <f>N691+N692+N693+N694</f>
        <v>4145</v>
      </c>
      <c r="O690" s="93">
        <f ca="1">IF(L690&gt;0,N690*100/L690,0)</f>
        <v>13.117088607594937</v>
      </c>
      <c r="P690" s="93">
        <f ca="1">IF(M690&gt;0,N690*100/M690,0)</f>
        <v>13.117088607594937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4145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IFERROR(__xludf.DUMMYFUNCTION("IMPORTRANGE(""https://docs.google.com/spreadsheets/d/1QqKyyYR6Q21VydFLVH3TRQUabQu_ym0Zz7PgGX0-kHA/edit?usp=sharing"",""แผน!IC55"")"),0)</f>
        <v>0</v>
      </c>
      <c r="J699" s="270">
        <f ca="1">IFERROR(__xludf.DUMMYFUNCTION("IMPORTRANGE(""https://docs.google.com/spreadsheets/d/1XWAQStnk-4SwqDmLtmXYiTMKHgktTP8We1SCoS47DrQ/edit?usp=sharing"",""จัดที่ดิน!BB55"")"),0)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IFERROR(__xludf.DUMMYFUNCTION("IMPORTRANGE(""https://docs.google.com/spreadsheets/d/1QqKyyYR6Q21VydFLVH3TRQUabQu_ym0Zz7PgGX0-kHA/edit?usp=sharing"",""แผน!ID55"")"),0)</f>
        <v>0</v>
      </c>
      <c r="J700" s="270">
        <f ca="1">IFERROR(__xludf.DUMMYFUNCTION("IMPORTRANGE(""https://docs.google.com/spreadsheets/d/1XWAQStnk-4SwqDmLtmXYiTMKHgktTP8We1SCoS47DrQ/edit?usp=sharing"",""จัดที่ดิน!BD55"")"),0)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IFERROR(__xludf.DUMMYFUNCTION("IMPORTRANGE(""https://docs.google.com/spreadsheets/d/1QqKyyYR6Q21VydFLVH3TRQUabQu_ym0Zz7PgGX0-kHA/edit?usp=sharing"",""แผน!IE55"")"),300)</f>
        <v>300</v>
      </c>
      <c r="J701" s="676">
        <f>J704+J707</f>
        <v>68</v>
      </c>
      <c r="K701" s="195">
        <f t="shared" ca="1" si="290"/>
        <v>22.666666666666668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5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7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IFERROR(__xludf.DUMMYFUNCTION("IMPORTRANGE(""https://docs.google.com/spreadsheets/d/1QqKyyYR6Q21VydFLVH3TRQUabQu_ym0Zz7PgGX0-kHA/edit?usp=sharing"",""แผน!IF55"")"),300)</f>
        <v>300</v>
      </c>
      <c r="J704" s="215">
        <v>68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IFERROR(__xludf.DUMMYFUNCTION("IMPORTRANGE(""https://docs.google.com/spreadsheets/d/1QqKyyYR6Q21VydFLVH3TRQUabQu_ym0Zz7PgGX0-kHA/edit?usp=sharing"",""แผน!IG55"")"),0)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IFERROR(__xludf.DUMMYFUNCTION("IMPORTRANGE(""https://docs.google.com/spreadsheets/d/1QqKyyYR6Q21VydFLVH3TRQUabQu_ym0Zz7PgGX0-kHA/edit?usp=sharing"",""แผน!IH55"")"),150)</f>
        <v>150</v>
      </c>
      <c r="J708" s="676">
        <f>J714+J717</f>
        <v>151</v>
      </c>
      <c r="K708" s="195">
        <f ca="1">IF(I708&gt;0,J708*100/I708,0)</f>
        <v>100.66666666666667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3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51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20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100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8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8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51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IFERROR(__xludf.DUMMYFUNCTION("IMPORTRANGE(""https://docs.google.com/spreadsheets/d/1QqKyyYR6Q21VydFLVH3TRQUabQu_ym0Zz7PgGX0-kHA/edit?usp=sharing"",""แผน!II55"")"),80)</f>
        <v>80</v>
      </c>
      <c r="J720" s="270">
        <f ca="1">IFERROR(__xludf.DUMMYFUNCTION("IMPORTRANGE(""https://docs.google.com/spreadsheets/d/1XWAQStnk-4SwqDmLtmXYiTMKHgktTP8We1SCoS47DrQ/edit?usp=sharing"",""จัดที่ดิน!BH55"")"),0)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IFERROR(__xludf.DUMMYFUNCTION("IMPORTRANGE(""https://docs.google.com/spreadsheets/d/1QqKyyYR6Q21VydFLVH3TRQUabQu_ym0Zz7PgGX0-kHA/edit?usp=sharing"",""แผน!IJ55"")"),35)</f>
        <v>35</v>
      </c>
      <c r="J721" s="676">
        <f ca="1">J723+J726</f>
        <v>24</v>
      </c>
      <c r="K721" s="195">
        <f t="shared" ca="1" si="291"/>
        <v>68.571428571428569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IFERROR(__xludf.DUMMYFUNCTION("IMPORTRANGE(""https://docs.google.com/spreadsheets/d/1QqKyyYR6Q21VydFLVH3TRQUabQu_ym0Zz7PgGX0-kHA/edit?usp=sharing"",""แผน!IK55"")"),350)</f>
        <v>350</v>
      </c>
      <c r="J722" s="676">
        <f ca="1">J725+J728</f>
        <v>262.36</v>
      </c>
      <c r="K722" s="195">
        <f t="shared" ca="1" si="291"/>
        <v>74.959999999999994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IFERROR(__xludf.DUMMYFUNCTION("IMPORTRANGE(""https://docs.google.com/spreadsheets/d/1QqKyyYR6Q21VydFLVH3TRQUabQu_ym0Zz7PgGX0-kHA/edit?usp=sharing"",""แผน!IL55"")"),30)</f>
        <v>30</v>
      </c>
      <c r="J723" s="270">
        <f ca="1">IFERROR(__xludf.DUMMYFUNCTION("IMPORTRANGE(""https://docs.google.com/spreadsheets/d/1XWAQStnk-4SwqDmLtmXYiTMKHgktTP8We1SCoS47DrQ/edit?usp=sharing"",""จัดที่ดิน!BM55"")"),24)</f>
        <v>24</v>
      </c>
      <c r="K723" s="497">
        <f t="shared" ca="1" si="291"/>
        <v>80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IFERROR(__xludf.DUMMYFUNCTION("IMPORTRANGE(""https://docs.google.com/spreadsheets/d/1XWAQStnk-4SwqDmLtmXYiTMKHgktTP8We1SCoS47DrQ/edit?usp=sharing"",""จัดที่ดิน!BN55"")"),33)</f>
        <v>33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IFERROR(__xludf.DUMMYFUNCTION("IMPORTRANGE(""https://docs.google.com/spreadsheets/d/1QqKyyYR6Q21VydFLVH3TRQUabQu_ym0Zz7PgGX0-kHA/edit?usp=sharing"",""แผน!IM55"")"),300)</f>
        <v>300</v>
      </c>
      <c r="J725" s="270">
        <f ca="1">IFERROR(__xludf.DUMMYFUNCTION("IMPORTRANGE(""https://docs.google.com/spreadsheets/d/1XWAQStnk-4SwqDmLtmXYiTMKHgktTP8We1SCoS47DrQ/edit?usp=sharing"",""จัดที่ดิน!BO55"")"),262.36)</f>
        <v>262.36</v>
      </c>
      <c r="K725" s="497">
        <f t="shared" ref="K725:K726" ca="1" si="292">IF(I725&gt;0,J725*100/I725,0)</f>
        <v>87.453333333333333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IFERROR(__xludf.DUMMYFUNCTION("IMPORTRANGE(""https://docs.google.com/spreadsheets/d/1QqKyyYR6Q21VydFLVH3TRQUabQu_ym0Zz7PgGX0-kHA/edit?usp=sharing"",""แผน!IN55"")"),5)</f>
        <v>5</v>
      </c>
      <c r="J726" s="270">
        <f ca="1">IFERROR(__xludf.DUMMYFUNCTION("IMPORTRANGE(""https://docs.google.com/spreadsheets/d/1XWAQStnk-4SwqDmLtmXYiTMKHgktTP8We1SCoS47DrQ/edit?usp=sharing"",""จัดที่ดิน!BR55"")"),0)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IFERROR(__xludf.DUMMYFUNCTION("IMPORTRANGE(""https://docs.google.com/spreadsheets/d/1QqKyyYR6Q21VydFLVH3TRQUabQu_ym0Zz7PgGX0-kHA/edit?usp=sharing"",""แผน!IO55"")"),50)</f>
        <v>50</v>
      </c>
      <c r="J728" s="270">
        <f ca="1">IFERROR(__xludf.DUMMYFUNCTION("IMPORTRANGE(""https://docs.google.com/spreadsheets/d/1XWAQStnk-4SwqDmLtmXYiTMKHgktTP8We1SCoS47DrQ/edit?usp=sharing"",""จัดที่ดิน!BT55"")"),0)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IFERROR(__xludf.DUMMYFUNCTION("IMPORTRANGE(""https://docs.google.com/spreadsheets/d/1QqKyyYR6Q21VydFLVH3TRQUabQu_ym0Zz7PgGX0-kHA/edit?usp=sharing"",""แผน!IP55"")"),100)</f>
        <v>100</v>
      </c>
      <c r="J729" s="676">
        <f>J732+J735</f>
        <v>29</v>
      </c>
      <c r="K729" s="195">
        <f t="shared" ca="1" si="293"/>
        <v>29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1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1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2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1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27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IFERROR(__xludf.DUMMYFUNCTION("IMPORTRANGE(""https://docs.google.com/spreadsheets/d/1QqKyyYR6Q21VydFLVH3TRQUabQu_ym0Zz7PgGX0-kHA/edit?usp=sharing"",""แผน!JN55"")"),0)</f>
        <v>0</v>
      </c>
      <c r="J800" s="184">
        <f ca="1">IFERROR(__xludf.DUMMYFUNCTION("IMPORTRANGE(""https://docs.google.com/spreadsheets/d/1MaWodYyGHDf7siQLGxnXhG4mBNTNIuy296niS2xXulU/edit?usp=sharing"",""RTK!H55"")"),0)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70">
        <f ca="1">IFERROR(__xludf.DUMMYFUNCTION("IMPORTRANGE(""https://docs.google.com/spreadsheets/d/19vJNZY_5yjcGF2XGBMNZRCAIB0Kwfpjp8YEOfu-bneM/edit?usp=sharing"",""งานกองทุน!F55"")"),3023045.07)</f>
        <v>3023045.07</v>
      </c>
      <c r="K821" s="497">
        <f t="shared" ref="K821:K828" ca="1" si="335">IF(I821&gt;0,J821*100/I821,0)</f>
        <v>60.903561395779533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IFERROR(__xludf.DUMMYFUNCTION("IMPORTRANGE(""https://docs.google.com/spreadsheets/d/19vJNZY_5yjcGF2XGBMNZRCAIB0Kwfpjp8YEOfu-bneM/edit?usp=sharing"",""งานกองทุน!C55"")"),213)</f>
        <v>213</v>
      </c>
      <c r="J822" s="270">
        <f ca="1">IFERROR(__xludf.DUMMYFUNCTION("IMPORTRANGE(""https://docs.google.com/spreadsheets/d/19vJNZY_5yjcGF2XGBMNZRCAIB0Kwfpjp8YEOfu-bneM/edit?usp=sharing"",""งานกองทุน!E55"")"),136)</f>
        <v>136</v>
      </c>
      <c r="K822" s="497">
        <f t="shared" ca="1" si="335"/>
        <v>63.84976525821596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70">
        <f ca="1">IFERROR(__xludf.DUMMYFUNCTION("IMPORTRANGE(""https://docs.google.com/spreadsheets/d/19vJNZY_5yjcGF2XGBMNZRCAIB0Kwfpjp8YEOfu-bneM/edit?usp=sharing"",""งานกองทุน!K55"")"),741321.1)</f>
        <v>741321.1</v>
      </c>
      <c r="K823" s="497">
        <f t="shared" ca="1" si="335"/>
        <v>7.4802573017011342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IFERROR(__xludf.DUMMYFUNCTION("IMPORTRANGE(""https://docs.google.com/spreadsheets/d/19vJNZY_5yjcGF2XGBMNZRCAIB0Kwfpjp8YEOfu-bneM/edit?usp=sharing"",""งานกองทุน!H55"")"),243)</f>
        <v>243</v>
      </c>
      <c r="J824" s="270">
        <f ca="1">IFERROR(__xludf.DUMMYFUNCTION("IMPORTRANGE(""https://docs.google.com/spreadsheets/d/19vJNZY_5yjcGF2XGBMNZRCAIB0Kwfpjp8YEOfu-bneM/edit?usp=sharing"",""งานกองทุน!J55"")"),77)</f>
        <v>77</v>
      </c>
      <c r="K824" s="497">
        <f t="shared" ca="1" si="335"/>
        <v>31.68724279835391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70">
        <f ca="1">IFERROR(__xludf.DUMMYFUNCTION("IMPORTRANGE(""https://docs.google.com/spreadsheets/d/19vJNZY_5yjcGF2XGBMNZRCAIB0Kwfpjp8YEOfu-bneM/edit?usp=sharing"",""งานกองทุน!P55"")"),2729098.52)</f>
        <v>2729098.52</v>
      </c>
      <c r="K825" s="497">
        <f t="shared" ca="1" si="335"/>
        <v>47.885808642944482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IFERROR(__xludf.DUMMYFUNCTION("IMPORTRANGE(""https://docs.google.com/spreadsheets/d/19vJNZY_5yjcGF2XGBMNZRCAIB0Kwfpjp8YEOfu-bneM/edit?usp=sharing"",""งานกองทุน!M55"")"),2611)</f>
        <v>2611</v>
      </c>
      <c r="J826" s="270">
        <f ca="1">IFERROR(__xludf.DUMMYFUNCTION("IMPORTRANGE(""https://docs.google.com/spreadsheets/d/19vJNZY_5yjcGF2XGBMNZRCAIB0Kwfpjp8YEOfu-bneM/edit?usp=sharing"",""งานกองทุน!O55"")"),1756)</f>
        <v>1756</v>
      </c>
      <c r="K826" s="497">
        <f t="shared" ca="1" si="335"/>
        <v>67.253925698965915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IFERROR(__xludf.DUMMYFUNCTION("IMPORTRANGE(""https://docs.google.com/spreadsheets/d/19vJNZY_5yjcGF2XGBMNZRCAIB0Kwfpjp8YEOfu-bneM/edit?usp=sharing"",""งานกองทุน!S55"")"),3000000)</f>
        <v>3000000</v>
      </c>
      <c r="J827" s="270">
        <f ca="1">IFERROR(__xludf.DUMMYFUNCTION("IMPORTRANGE(""https://docs.google.com/spreadsheets/d/19vJNZY_5yjcGF2XGBMNZRCAIB0Kwfpjp8YEOfu-bneM/edit?usp=sharing"",""งานกองทุน!U55"")"),3000000)</f>
        <v>3000000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IFERROR(__xludf.DUMMYFUNCTION("IMPORTRANGE(""https://docs.google.com/spreadsheets/d/19vJNZY_5yjcGF2XGBMNZRCAIB0Kwfpjp8YEOfu-bneM/edit?usp=sharing"",""งานกองทุน!R55"")"),119)</f>
        <v>119</v>
      </c>
      <c r="J828" s="501">
        <f ca="1">IFERROR(__xludf.DUMMYFUNCTION("IMPORTRANGE(""https://docs.google.com/spreadsheets/d/19vJNZY_5yjcGF2XGBMNZRCAIB0Kwfpjp8YEOfu-bneM/edit?usp=sharing"",""งานกองทุน!T55"")"),100)</f>
        <v>100</v>
      </c>
      <c r="K828" s="502">
        <f t="shared" ca="1" si="335"/>
        <v>84.033613445378151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4F10-B791-4FB3-A5F5-9B90A4872DD4}">
  <sheetPr codeName="Sheet5">
    <outlinePr summaryBelow="0" summaryRight="0"/>
    <pageSetUpPr fitToPage="1"/>
  </sheetPr>
  <dimension ref="A1:Z2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5316217</v>
      </c>
      <c r="M8" s="22">
        <f t="shared" ca="1" si="0"/>
        <v>5323120</v>
      </c>
      <c r="N8" s="22">
        <f t="shared" ca="1" si="0"/>
        <v>4550652.59</v>
      </c>
      <c r="O8" s="22">
        <f t="shared" ref="O8:O16" ca="1" si="1">IF(L8&gt;0,N8*100/L8,0)</f>
        <v>85.599451452038167</v>
      </c>
      <c r="P8" s="22">
        <f t="shared" ref="P8:P16" ca="1" si="2">IF(M8&gt;0,N8*100/M8,0)</f>
        <v>85.488446437427669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5316217</v>
      </c>
      <c r="M10" s="30">
        <f t="shared" ca="1" si="3"/>
        <v>5323120</v>
      </c>
      <c r="N10" s="30">
        <f t="shared" ca="1" si="3"/>
        <v>4550652.59</v>
      </c>
      <c r="O10" s="30">
        <f t="shared" ca="1" si="1"/>
        <v>85.599451452038167</v>
      </c>
      <c r="P10" s="30">
        <f t="shared" ca="1" si="2"/>
        <v>85.488446437427669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4375317</v>
      </c>
      <c r="M11" s="497">
        <f t="shared" ca="1" si="4"/>
        <v>4352220</v>
      </c>
      <c r="N11" s="497">
        <f t="shared" ca="1" si="4"/>
        <v>3579752.5900000003</v>
      </c>
      <c r="O11" s="497">
        <f t="shared" ca="1" si="1"/>
        <v>81.816988117660969</v>
      </c>
      <c r="P11" s="497">
        <f t="shared" ca="1" si="2"/>
        <v>82.251186520901996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4375317</v>
      </c>
      <c r="M13" s="93">
        <f t="shared" ca="1" si="5"/>
        <v>4352220</v>
      </c>
      <c r="N13" s="93">
        <f t="shared" ca="1" si="5"/>
        <v>3579752.5900000003</v>
      </c>
      <c r="O13" s="93">
        <f t="shared" ca="1" si="1"/>
        <v>81.816988117660969</v>
      </c>
      <c r="P13" s="93">
        <f t="shared" ca="1" si="2"/>
        <v>82.251186520901996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940900</v>
      </c>
      <c r="M14" s="497">
        <f t="shared" ca="1" si="6"/>
        <v>970900</v>
      </c>
      <c r="N14" s="497">
        <f t="shared" ca="1" si="6"/>
        <v>970900</v>
      </c>
      <c r="O14" s="497">
        <f t="shared" ca="1" si="1"/>
        <v>103.1884366032522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940900</v>
      </c>
      <c r="M16" s="52">
        <f t="shared" ca="1" si="7"/>
        <v>970900</v>
      </c>
      <c r="N16" s="52">
        <f t="shared" ca="1" si="7"/>
        <v>970900</v>
      </c>
      <c r="O16" s="52">
        <f t="shared" ca="1" si="1"/>
        <v>103.1884366032522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3931919</v>
      </c>
      <c r="M18" s="22">
        <f t="shared" ca="1" si="8"/>
        <v>3943662</v>
      </c>
      <c r="N18" s="22">
        <f t="shared" ca="1" si="8"/>
        <v>3392306.24</v>
      </c>
      <c r="O18" s="22">
        <f t="shared" ref="O18:O26" ca="1" si="9">IF(L18&gt;0,N18*100/L18,0)</f>
        <v>86.276096735461749</v>
      </c>
      <c r="P18" s="22">
        <f t="shared" ref="P18:P26" ca="1" si="10">IF(M18&gt;0,N18*100/M18,0)</f>
        <v>86.019193328434326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3931919</v>
      </c>
      <c r="M20" s="30">
        <f t="shared" ca="1" si="11"/>
        <v>3943662</v>
      </c>
      <c r="N20" s="30">
        <f t="shared" ca="1" si="11"/>
        <v>3392306.24</v>
      </c>
      <c r="O20" s="30">
        <f t="shared" ca="1" si="9"/>
        <v>86.276096735461749</v>
      </c>
      <c r="P20" s="30">
        <f t="shared" ca="1" si="10"/>
        <v>86.019193328434326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2991019</v>
      </c>
      <c r="M21" s="497">
        <f t="shared" ca="1" si="12"/>
        <v>2972762</v>
      </c>
      <c r="N21" s="497">
        <f t="shared" ca="1" si="12"/>
        <v>2421406.2400000002</v>
      </c>
      <c r="O21" s="497">
        <f t="shared" ca="1" si="9"/>
        <v>80.955896301561452</v>
      </c>
      <c r="P21" s="497">
        <f t="shared" ca="1" si="10"/>
        <v>81.453081006821279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2991019</v>
      </c>
      <c r="M23" s="93">
        <f t="shared" ca="1" si="13"/>
        <v>2972762</v>
      </c>
      <c r="N23" s="93">
        <f t="shared" ca="1" si="13"/>
        <v>2421406.2400000002</v>
      </c>
      <c r="O23" s="93">
        <f t="shared" ca="1" si="9"/>
        <v>80.955896301561452</v>
      </c>
      <c r="P23" s="93">
        <f t="shared" ca="1" si="10"/>
        <v>81.453081006821279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940900</v>
      </c>
      <c r="M24" s="497">
        <f t="shared" ca="1" si="14"/>
        <v>970900</v>
      </c>
      <c r="N24" s="497">
        <f t="shared" ca="1" si="14"/>
        <v>970900</v>
      </c>
      <c r="O24" s="497">
        <f t="shared" ca="1" si="9"/>
        <v>103.1884366032522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940900</v>
      </c>
      <c r="M26" s="52">
        <f t="shared" ca="1" si="15"/>
        <v>970900</v>
      </c>
      <c r="N26" s="52">
        <f t="shared" ca="1" si="15"/>
        <v>970900</v>
      </c>
      <c r="O26" s="52">
        <f t="shared" ca="1" si="9"/>
        <v>103.1884366032522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1384298</v>
      </c>
      <c r="M28" s="22">
        <f t="shared" ca="1" si="16"/>
        <v>1379458</v>
      </c>
      <c r="N28" s="22">
        <f t="shared" si="16"/>
        <v>1158346.3500000001</v>
      </c>
      <c r="O28" s="22">
        <f t="shared" ref="O28:O37" ca="1" si="17">IF(L28&gt;0,N28*100/L28,0)</f>
        <v>83.677528248975307</v>
      </c>
      <c r="P28" s="22">
        <f t="shared" ref="P28:P37" ca="1" si="18">IF(M28&gt;0,N28*100/M28,0)</f>
        <v>83.97112126646843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1384298</v>
      </c>
      <c r="M30" s="30">
        <f t="shared" ca="1" si="19"/>
        <v>1379458</v>
      </c>
      <c r="N30" s="30">
        <f t="shared" si="19"/>
        <v>1158346.3500000001</v>
      </c>
      <c r="O30" s="30">
        <f t="shared" ca="1" si="17"/>
        <v>83.677528248975307</v>
      </c>
      <c r="P30" s="30">
        <f t="shared" ca="1" si="18"/>
        <v>83.97112126646843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1384298</v>
      </c>
      <c r="M31" s="497">
        <f t="shared" ca="1" si="20"/>
        <v>1379458</v>
      </c>
      <c r="N31" s="497">
        <f t="shared" si="20"/>
        <v>1158346.3500000001</v>
      </c>
      <c r="O31" s="497">
        <f t="shared" ca="1" si="17"/>
        <v>83.677528248975307</v>
      </c>
      <c r="P31" s="497">
        <f t="shared" ca="1" si="18"/>
        <v>83.97112126646843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1384298</v>
      </c>
      <c r="M33" s="93">
        <f t="shared" ca="1" si="21"/>
        <v>1379458</v>
      </c>
      <c r="N33" s="93">
        <f t="shared" si="21"/>
        <v>1158346.3500000001</v>
      </c>
      <c r="O33" s="93">
        <f t="shared" ca="1" si="17"/>
        <v>83.677528248975307</v>
      </c>
      <c r="P33" s="93">
        <f t="shared" ca="1" si="18"/>
        <v>83.97112126646843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3931919</v>
      </c>
      <c r="M37" s="59">
        <f t="shared" ca="1" si="24"/>
        <v>3943662</v>
      </c>
      <c r="N37" s="59">
        <f t="shared" ca="1" si="24"/>
        <v>3392306.24</v>
      </c>
      <c r="O37" s="59">
        <f t="shared" ca="1" si="17"/>
        <v>86.276096735461749</v>
      </c>
      <c r="P37" s="59">
        <f t="shared" ca="1" si="18"/>
        <v>86.019193328434326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562639</v>
      </c>
      <c r="M41" s="85">
        <f t="shared" ca="1" si="25"/>
        <v>544187</v>
      </c>
      <c r="N41" s="85">
        <f t="shared" ca="1" si="25"/>
        <v>390919</v>
      </c>
      <c r="O41" s="85">
        <f t="shared" ref="O41:O49" ca="1" si="26">IF(L41&gt;0,N41*100/L41,0)</f>
        <v>69.479541944301758</v>
      </c>
      <c r="P41" s="85">
        <f t="shared" ref="P41:P49" ca="1" si="27">IF(M41&gt;0,N41*100/M41,0)</f>
        <v>71.835416869568732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562639</v>
      </c>
      <c r="M43" s="92">
        <f t="shared" ca="1" si="28"/>
        <v>544187</v>
      </c>
      <c r="N43" s="92">
        <f t="shared" ca="1" si="28"/>
        <v>390919</v>
      </c>
      <c r="O43" s="92">
        <f t="shared" ca="1" si="26"/>
        <v>69.479541944301758</v>
      </c>
      <c r="P43" s="92">
        <f t="shared" ca="1" si="27"/>
        <v>71.835416869568732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562639</v>
      </c>
      <c r="M44" s="497">
        <f t="shared" ca="1" si="29"/>
        <v>544187</v>
      </c>
      <c r="N44" s="497">
        <f t="shared" ca="1" si="29"/>
        <v>390919</v>
      </c>
      <c r="O44" s="497">
        <f t="shared" ca="1" si="26"/>
        <v>69.479541944301758</v>
      </c>
      <c r="P44" s="497">
        <f t="shared" ca="1" si="27"/>
        <v>71.835416869568732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IFERROR(__xludf.DUMMYFUNCTION("IMPORTRANGE(""https://docs.google.com/spreadsheets/d/1MeEWN-I1oV_STSDYn1IFDPWt_1FKiwhDph83XaGc0o0/edit?usp=sharing"",""งบพรบ!M56"")"),562639)</f>
        <v>562639</v>
      </c>
      <c r="M46" s="93">
        <f ca="1">IFERROR(__xludf.DUMMYFUNCTION("IMPORTRANGE(""https://docs.google.com/spreadsheets/d/1MeEWN-I1oV_STSDYn1IFDPWt_1FKiwhDph83XaGc0o0/edit?usp=sharing"",""งบพรบ!R56"")"),544187)</f>
        <v>544187</v>
      </c>
      <c r="N46" s="93">
        <f ca="1">IFERROR(__xludf.DUMMYFUNCTION("IMPORTRANGE(""https://docs.google.com/spreadsheets/d/1MeEWN-I1oV_STSDYn1IFDPWt_1FKiwhDph83XaGc0o0/edit?usp=sharing"",""งบพรบ!T56"")"),390919)</f>
        <v>390919</v>
      </c>
      <c r="O46" s="93">
        <f t="shared" ca="1" si="26"/>
        <v>69.479541944301758</v>
      </c>
      <c r="P46" s="93">
        <f t="shared" ca="1" si="27"/>
        <v>71.835416869568732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IFERROR(__xludf.DUMMYFUNCTION("IMPORTRANGE(""https://docs.google.com/spreadsheets/d/1MeEWN-I1oV_STSDYn1IFDPWt_1FKiwhDph83XaGc0o0/edit?usp=sharing"",""งบพรบ!P56"")"),0)</f>
        <v>0</v>
      </c>
      <c r="M49" s="52">
        <f ca="1">IFERROR(__xludf.DUMMYFUNCTION("IMPORTRANGE(""https://docs.google.com/spreadsheets/d/1MeEWN-I1oV_STSDYn1IFDPWt_1FKiwhDph83XaGc0o0/edit?usp=sharing"",""งบพรบ!S56"")"),0)</f>
        <v>0</v>
      </c>
      <c r="N49" s="52">
        <f ca="1">IFERROR(__xludf.DUMMYFUNCTION("IMPORTRANGE(""https://docs.google.com/spreadsheets/d/1MeEWN-I1oV_STSDYn1IFDPWt_1FKiwhDph83XaGc0o0/edit?usp=sharing"",""งบพรบ!U56"")"),0)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752500</v>
      </c>
      <c r="M53" s="116">
        <f t="shared" ca="1" si="31"/>
        <v>770500</v>
      </c>
      <c r="N53" s="116">
        <f t="shared" ca="1" si="31"/>
        <v>701202.77</v>
      </c>
      <c r="O53" s="116">
        <f t="shared" ref="O53:O61" ca="1" si="32">IF(L53&gt;0,N53*100/L53,0)</f>
        <v>93.183092358803989</v>
      </c>
      <c r="P53" s="116">
        <f t="shared" ref="P53:P61" ca="1" si="33">IF(M53&gt;0,N53*100/M53,0)</f>
        <v>91.006199870214147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752500</v>
      </c>
      <c r="M55" s="123">
        <f t="shared" ca="1" si="34"/>
        <v>770500</v>
      </c>
      <c r="N55" s="123">
        <f t="shared" ca="1" si="34"/>
        <v>701202.77</v>
      </c>
      <c r="O55" s="123">
        <f t="shared" ca="1" si="32"/>
        <v>93.183092358803989</v>
      </c>
      <c r="P55" s="123">
        <f t="shared" ca="1" si="33"/>
        <v>91.006199870214147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706600</v>
      </c>
      <c r="M56" s="497">
        <f t="shared" ca="1" si="35"/>
        <v>724600</v>
      </c>
      <c r="N56" s="497">
        <f t="shared" ca="1" si="35"/>
        <v>655302.77</v>
      </c>
      <c r="O56" s="497">
        <f t="shared" ca="1" si="32"/>
        <v>92.740273138975368</v>
      </c>
      <c r="P56" s="497">
        <f t="shared" ca="1" si="33"/>
        <v>90.436484957217772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IFERROR(__xludf.DUMMYFUNCTION("IMPORTRANGE(""https://docs.google.com/spreadsheets/d/1MeEWN-I1oV_STSDYn1IFDPWt_1FKiwhDph83XaGc0o0/edit?usp=sharing"",""งบพรบ!W56"")"),706600)</f>
        <v>706600</v>
      </c>
      <c r="M58" s="93">
        <f ca="1">IFERROR(__xludf.DUMMYFUNCTION("IMPORTRANGE(""https://docs.google.com/spreadsheets/d/1MeEWN-I1oV_STSDYn1IFDPWt_1FKiwhDph83XaGc0o0/edit?usp=sharing"",""งบพรบ!AB56"")"),724600)</f>
        <v>724600</v>
      </c>
      <c r="N58" s="93">
        <f ca="1">IFERROR(__xludf.DUMMYFUNCTION("IMPORTRANGE(""https://docs.google.com/spreadsheets/d/1MeEWN-I1oV_STSDYn1IFDPWt_1FKiwhDph83XaGc0o0/edit?usp=sharing"",""งบพรบ!AD56"")"),655302.77)</f>
        <v>655302.77</v>
      </c>
      <c r="O58" s="93">
        <f t="shared" ca="1" si="32"/>
        <v>92.740273138975368</v>
      </c>
      <c r="P58" s="93">
        <f t="shared" ca="1" si="33"/>
        <v>90.436484957217772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45900</v>
      </c>
      <c r="M59" s="497">
        <f t="shared" ca="1" si="36"/>
        <v>45900</v>
      </c>
      <c r="N59" s="497">
        <f t="shared" ca="1" si="36"/>
        <v>45900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IFERROR(__xludf.DUMMYFUNCTION("IMPORTRANGE(""https://docs.google.com/spreadsheets/d/1MeEWN-I1oV_STSDYn1IFDPWt_1FKiwhDph83XaGc0o0/edit?usp=sharing"",""งบพรบ!Z56"")"),45900)</f>
        <v>45900</v>
      </c>
      <c r="M61" s="52">
        <f ca="1">IFERROR(__xludf.DUMMYFUNCTION("IMPORTRANGE(""https://docs.google.com/spreadsheets/d/1MeEWN-I1oV_STSDYn1IFDPWt_1FKiwhDph83XaGc0o0/edit?usp=sharing"",""งบพรบ!AC56"")"),45900)</f>
        <v>45900</v>
      </c>
      <c r="N61" s="52">
        <f ca="1">IFERROR(__xludf.DUMMYFUNCTION("IMPORTRANGE(""https://docs.google.com/spreadsheets/d/1MeEWN-I1oV_STSDYn1IFDPWt_1FKiwhDph83XaGc0o0/edit?usp=sharing"",""งบพรบ!AE56"")"),45900)</f>
        <v>45900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IFERROR(__xludf.DUMMYFUNCTION("IMPORTRANGE(""https://docs.google.com/spreadsheets/d/1MeEWN-I1oV_STSDYn1IFDPWt_1FKiwhDph83XaGc0o0/edit?usp=sharing"",""งบพรบ!AG56"")"),0)</f>
        <v>0</v>
      </c>
      <c r="M71" s="93">
        <f ca="1">IFERROR(__xludf.DUMMYFUNCTION("IMPORTRANGE(""https://docs.google.com/spreadsheets/d/1MeEWN-I1oV_STSDYn1IFDPWt_1FKiwhDph83XaGc0o0/edit?usp=sharing"",""งบพรบ!AL56"")"),0)</f>
        <v>0</v>
      </c>
      <c r="N71" s="93">
        <f ca="1">IFERROR(__xludf.DUMMYFUNCTION("IMPORTRANGE(""https://docs.google.com/spreadsheets/d/1MeEWN-I1oV_STSDYn1IFDPWt_1FKiwhDph83XaGc0o0/edit?usp=sharing"",""งบพรบ!AN56"")"),0)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IFERROR(__xludf.DUMMYFUNCTION("IMPORTRANGE(""https://docs.google.com/spreadsheets/d/1MeEWN-I1oV_STSDYn1IFDPWt_1FKiwhDph83XaGc0o0/edit?usp=sharing"",""งบพรบ!AJ56"")"),0)</f>
        <v>0</v>
      </c>
      <c r="M74" s="93">
        <f ca="1">IFERROR(__xludf.DUMMYFUNCTION("IMPORTRANGE(""https://docs.google.com/spreadsheets/d/1MeEWN-I1oV_STSDYn1IFDPWt_1FKiwhDph83XaGc0o0/edit?usp=sharing"",""งบพรบ!AM56"")"),0)</f>
        <v>0</v>
      </c>
      <c r="N74" s="93">
        <f ca="1">IFERROR(__xludf.DUMMYFUNCTION("IMPORTRANGE(""https://docs.google.com/spreadsheets/d/1MeEWN-I1oV_STSDYn1IFDPWt_1FKiwhDph83XaGc0o0/edit?usp=sharing"",""งบพรบ!AO56"")"),0)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38805</v>
      </c>
      <c r="N88" s="155">
        <f t="shared" ca="1" si="49"/>
        <v>33063</v>
      </c>
      <c r="O88" s="155">
        <f t="shared" ref="O88:O96" ca="1" si="50">IF(L88&gt;0,N88*100/L88,0)</f>
        <v>105.97115384615384</v>
      </c>
      <c r="P88" s="155">
        <f t="shared" ref="P88:P96" ca="1" si="51">IF(M88&gt;0,N88*100/M88,0)</f>
        <v>85.202937765751841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38805</v>
      </c>
      <c r="N90" s="93">
        <f t="shared" ca="1" si="52"/>
        <v>33063</v>
      </c>
      <c r="O90" s="93">
        <f t="shared" ca="1" si="50"/>
        <v>105.97115384615384</v>
      </c>
      <c r="P90" s="93">
        <f t="shared" ca="1" si="51"/>
        <v>85.202937765751841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38805</v>
      </c>
      <c r="N91" s="497">
        <f t="shared" ca="1" si="53"/>
        <v>33063</v>
      </c>
      <c r="O91" s="497">
        <f t="shared" ca="1" si="50"/>
        <v>105.97115384615384</v>
      </c>
      <c r="P91" s="497">
        <f t="shared" ca="1" si="51"/>
        <v>85.202937765751841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IFERROR(__xludf.DUMMYFUNCTION("IMPORTRANGE(""https://docs.google.com/spreadsheets/d/1MeEWN-I1oV_STSDYn1IFDPWt_1FKiwhDph83XaGc0o0/edit?usp=sharing"",""งบพรบ!AQ56"")"),31200)</f>
        <v>31200</v>
      </c>
      <c r="M93" s="93">
        <f ca="1">IFERROR(__xludf.DUMMYFUNCTION("IMPORTRANGE(""https://docs.google.com/spreadsheets/d/1MeEWN-I1oV_STSDYn1IFDPWt_1FKiwhDph83XaGc0o0/edit?usp=sharing"",""งบพรบ!AV56"")"),38805)</f>
        <v>38805</v>
      </c>
      <c r="N93" s="93">
        <f ca="1">IFERROR(__xludf.DUMMYFUNCTION("IMPORTRANGE(""https://docs.google.com/spreadsheets/d/1MeEWN-I1oV_STSDYn1IFDPWt_1FKiwhDph83XaGc0o0/edit?usp=sharing"",""งบพรบ!AX56"")"),33063)</f>
        <v>33063</v>
      </c>
      <c r="O93" s="93">
        <f t="shared" ca="1" si="50"/>
        <v>105.97115384615384</v>
      </c>
      <c r="P93" s="93">
        <f t="shared" ca="1" si="51"/>
        <v>85.202937765751841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IFERROR(__xludf.DUMMYFUNCTION("IMPORTRANGE(""https://docs.google.com/spreadsheets/d/1MeEWN-I1oV_STSDYn1IFDPWt_1FKiwhDph83XaGc0o0/edit?usp=sharing"",""งบพรบ!AT56"")"),0)</f>
        <v>0</v>
      </c>
      <c r="M96" s="93">
        <f ca="1">IFERROR(__xludf.DUMMYFUNCTION("IMPORTRANGE(""https://docs.google.com/spreadsheets/d/1MeEWN-I1oV_STSDYn1IFDPWt_1FKiwhDph83XaGc0o0/edit?usp=sharing"",""งบพรบ!AW56"")"),0)</f>
        <v>0</v>
      </c>
      <c r="N96" s="93">
        <f ca="1">IFERROR(__xludf.DUMMYFUNCTION("IMPORTRANGE(""https://docs.google.com/spreadsheets/d/1MeEWN-I1oV_STSDYn1IFDPWt_1FKiwhDph83XaGc0o0/edit?usp=sharing"",""งบพรบ!AY56"")"),0)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IFERROR(__xludf.DUMMYFUNCTION("IMPORTRANGE(""https://docs.google.com/spreadsheets/d/1QqKyyYR6Q21VydFLVH3TRQUabQu_ym0Zz7PgGX0-kHA/edit?usp=sharing"",""แผน!K56"")"),0)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IFERROR(__xludf.DUMMYFUNCTION("IMPORTRANGE(""https://docs.google.com/spreadsheets/d/1QqKyyYR6Q21VydFLVH3TRQUabQu_ym0Zz7PgGX0-kHA/edit?usp=sharing"",""แผน!L56"")"),0)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IFERROR(__xludf.DUMMYFUNCTION("IMPORTRANGE(""https://docs.google.com/spreadsheets/d/1QqKyyYR6Q21VydFLVH3TRQUabQu_ym0Zz7PgGX0-kHA/edit?usp=sharing"",""แผน!M56"")"),1)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IFERROR(__xludf.DUMMYFUNCTION("IMPORTRANGE(""https://docs.google.com/spreadsheets/d/1QqKyyYR6Q21VydFLVH3TRQUabQu_ym0Zz7PgGX0-kHA/edit?usp=sharing"",""แผน!N56"")"),0)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IFERROR(__xludf.DUMMYFUNCTION("IMPORTRANGE(""https://docs.google.com/spreadsheets/d/1QqKyyYR6Q21VydFLVH3TRQUabQu_ym0Zz7PgGX0-kHA/edit?usp=sharing"",""แผน!O56"")"),0)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IFERROR(__xludf.DUMMYFUNCTION("IMPORTRANGE(""https://docs.google.com/spreadsheets/d/1QqKyyYR6Q21VydFLVH3TRQUabQu_ym0Zz7PgGX0-kHA/edit?usp=sharing"",""แผน!O56"")"),0)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IFERROR(__xludf.DUMMYFUNCTION("IMPORTRANGE(""https://docs.google.com/spreadsheets/d/1QqKyyYR6Q21VydFLVH3TRQUabQu_ym0Zz7PgGX0-kHA/edit?usp=sharing"",""แผน!R56"")"),0)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IFERROR(__xludf.DUMMYFUNCTION("IMPORTRANGE(""https://docs.google.com/spreadsheets/d/1QqKyyYR6Q21VydFLVH3TRQUabQu_ym0Zz7PgGX0-kHA/edit?usp=sharing"",""แผน!R56"")"),0)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IFERROR(__xludf.DUMMYFUNCTION("IMPORTRANGE(""https://docs.google.com/spreadsheets/d/1QqKyyYR6Q21VydFLVH3TRQUabQu_ym0Zz7PgGX0-kHA/edit?usp=sharing"",""แผน!R56"")"),0)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IFERROR(__xludf.DUMMYFUNCTION("IMPORTRANGE(""https://docs.google.com/spreadsheets/d/1QqKyyYR6Q21VydFLVH3TRQUabQu_ym0Zz7PgGX0-kHA/edit?usp=sharing"",""แผน!T56"")"),1)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IFERROR(__xludf.DUMMYFUNCTION("IMPORTRANGE(""https://docs.google.com/spreadsheets/d/1MeEWN-I1oV_STSDYn1IFDPWt_1FKiwhDph83XaGc0o0/edit?usp=sharing"",""งบพรบ!BA56"")"),0)</f>
        <v>0</v>
      </c>
      <c r="M124" s="93">
        <f ca="1">IFERROR(__xludf.DUMMYFUNCTION("IMPORTRANGE(""https://docs.google.com/spreadsheets/d/1MeEWN-I1oV_STSDYn1IFDPWt_1FKiwhDph83XaGc0o0/edit?usp=sharing"",""งบพรบ!BF56"")"),0)</f>
        <v>0</v>
      </c>
      <c r="N124" s="93">
        <f ca="1">IFERROR(__xludf.DUMMYFUNCTION("IMPORTRANGE(""https://docs.google.com/spreadsheets/d/1MeEWN-I1oV_STSDYn1IFDPWt_1FKiwhDph83XaGc0o0/edit?usp=sharing"",""งบพรบ!BH56"")"),0)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IFERROR(__xludf.DUMMYFUNCTION("IMPORTRANGE(""https://docs.google.com/spreadsheets/d/1MeEWN-I1oV_STSDYn1IFDPWt_1FKiwhDph83XaGc0o0/edit?usp=sharing"",""งบพรบ!BD56"")"),0)</f>
        <v>0</v>
      </c>
      <c r="M127" s="93">
        <f ca="1">IFERROR(__xludf.DUMMYFUNCTION("IMPORTRANGE(""https://docs.google.com/spreadsheets/d/1MeEWN-I1oV_STSDYn1IFDPWt_1FKiwhDph83XaGc0o0/edit?usp=sharing"",""งบพรบ!BG56"")"),0)</f>
        <v>0</v>
      </c>
      <c r="N127" s="93">
        <f ca="1">IFERROR(__xludf.DUMMYFUNCTION("IMPORTRANGE(""https://docs.google.com/spreadsheets/d/1MeEWN-I1oV_STSDYn1IFDPWt_1FKiwhDph83XaGc0o0/edit?usp=sharing"",""งบพรบ!BI56"")"),0)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IFERROR(__xludf.DUMMYFUNCTION("IMPORTRANGE(""https://docs.google.com/spreadsheets/d/1MeEWN-I1oV_STSDYn1IFDPWt_1FKiwhDph83XaGc0o0/edit?usp=sharing"",""งบพรบ!BK56"")"),0)</f>
        <v>0</v>
      </c>
      <c r="M137" s="93">
        <f ca="1">IFERROR(__xludf.DUMMYFUNCTION("IMPORTRANGE(""https://docs.google.com/spreadsheets/d/1MeEWN-I1oV_STSDYn1IFDPWt_1FKiwhDph83XaGc0o0/edit?usp=sharing"",""งบพรบ!BP56"")"),0)</f>
        <v>0</v>
      </c>
      <c r="N137" s="93">
        <f ca="1">IFERROR(__xludf.DUMMYFUNCTION("IMPORTRANGE(""https://docs.google.com/spreadsheets/d/1MeEWN-I1oV_STSDYn1IFDPWt_1FKiwhDph83XaGc0o0/edit?usp=sharing"",""งบพรบ!BR56"")"),0)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IFERROR(__xludf.DUMMYFUNCTION("IMPORTRANGE(""https://docs.google.com/spreadsheets/d/1MeEWN-I1oV_STSDYn1IFDPWt_1FKiwhDph83XaGc0o0/edit?usp=sharing"",""งบพรบ!BN56"")"),0)</f>
        <v>0</v>
      </c>
      <c r="M140" s="93">
        <f ca="1">IFERROR(__xludf.DUMMYFUNCTION("IMPORTRANGE(""https://docs.google.com/spreadsheets/d/1MeEWN-I1oV_STSDYn1IFDPWt_1FKiwhDph83XaGc0o0/edit?usp=sharing"",""งบพรบ!BQ56"")"),0)</f>
        <v>0</v>
      </c>
      <c r="N140" s="93">
        <f ca="1">IFERROR(__xludf.DUMMYFUNCTION("IMPORTRANGE(""https://docs.google.com/spreadsheets/d/1MeEWN-I1oV_STSDYn1IFDPWt_1FKiwhDph83XaGc0o0/edit?usp=sharing"",""งบพรบ!BS56"")"),0)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IFERROR(__xludf.DUMMYFUNCTION("IMPORTRANGE(""https://docs.google.com/spreadsheets/d/1MeEWN-I1oV_STSDYn1IFDPWt_1FKiwhDph83XaGc0o0/edit?usp=sharing"",""งบพรบ!BU56"")"),0)</f>
        <v>0</v>
      </c>
      <c r="M154" s="93">
        <f ca="1">IFERROR(__xludf.DUMMYFUNCTION("IMPORTRANGE(""https://docs.google.com/spreadsheets/d/1MeEWN-I1oV_STSDYn1IFDPWt_1FKiwhDph83XaGc0o0/edit?usp=sharing"",""งบพรบ!BZ56"")"),0)</f>
        <v>0</v>
      </c>
      <c r="N154" s="93">
        <f ca="1">IFERROR(__xludf.DUMMYFUNCTION("IMPORTRANGE(""https://docs.google.com/spreadsheets/d/1MeEWN-I1oV_STSDYn1IFDPWt_1FKiwhDph83XaGc0o0/edit?usp=sharing"",""งบพรบ!CB56"")"),0)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IFERROR(__xludf.DUMMYFUNCTION("IMPORTRANGE(""https://docs.google.com/spreadsheets/d/1MeEWN-I1oV_STSDYn1IFDPWt_1FKiwhDph83XaGc0o0/edit?usp=sharing"",""งบพรบ!BX56"")"),0)</f>
        <v>0</v>
      </c>
      <c r="M157" s="93">
        <f ca="1">IFERROR(__xludf.DUMMYFUNCTION("IMPORTRANGE(""https://docs.google.com/spreadsheets/d/1MeEWN-I1oV_STSDYn1IFDPWt_1FKiwhDph83XaGc0o0/edit?usp=sharing"",""งบพรบ!CA56"")"),0)</f>
        <v>0</v>
      </c>
      <c r="N157" s="93">
        <f ca="1">IFERROR(__xludf.DUMMYFUNCTION("IMPORTRANGE(""https://docs.google.com/spreadsheets/d/1MeEWN-I1oV_STSDYn1IFDPWt_1FKiwhDph83XaGc0o0/edit?usp=sharing"",""งบพรบ!CC56"")"),0)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IFERROR(__xludf.DUMMYFUNCTION("IMPORTRANGE(""https://docs.google.com/spreadsheets/d/1MeEWN-I1oV_STSDYn1IFDPWt_1FKiwhDph83XaGc0o0/edit?usp=sharing"",""งบพรบ!CE56"")"),0)</f>
        <v>0</v>
      </c>
      <c r="M170" s="93">
        <f ca="1">IFERROR(__xludf.DUMMYFUNCTION("IMPORTRANGE(""https://docs.google.com/spreadsheets/d/1MeEWN-I1oV_STSDYn1IFDPWt_1FKiwhDph83XaGc0o0/edit?usp=sharing"",""งบพรบ!CJ56"")"),0)</f>
        <v>0</v>
      </c>
      <c r="N170" s="93">
        <f ca="1">IFERROR(__xludf.DUMMYFUNCTION("IMPORTRANGE(""https://docs.google.com/spreadsheets/d/1MeEWN-I1oV_STSDYn1IFDPWt_1FKiwhDph83XaGc0o0/edit?usp=sharing"",""งบพรบ!CL56"")"),0)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IFERROR(__xludf.DUMMYFUNCTION("IMPORTRANGE(""https://docs.google.com/spreadsheets/d/1MeEWN-I1oV_STSDYn1IFDPWt_1FKiwhDph83XaGc0o0/edit?usp=sharing"",""งบพรบ!CH56"")"),0)</f>
        <v>0</v>
      </c>
      <c r="M173" s="93">
        <f ca="1">IFERROR(__xludf.DUMMYFUNCTION("IMPORTRANGE(""https://docs.google.com/spreadsheets/d/1MeEWN-I1oV_STSDYn1IFDPWt_1FKiwhDph83XaGc0o0/edit?usp=sharing"",""งบพรบ!CK56"")"),0)</f>
        <v>0</v>
      </c>
      <c r="N173" s="93">
        <f ca="1">IFERROR(__xludf.DUMMYFUNCTION("IMPORTRANGE(""https://docs.google.com/spreadsheets/d/1MeEWN-I1oV_STSDYn1IFDPWt_1FKiwhDph83XaGc0o0/edit?usp=sharing"",""งบพรบ!CM56"")"),0)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153900</v>
      </c>
      <c r="M181" s="155">
        <f t="shared" ca="1" si="92"/>
        <v>168990</v>
      </c>
      <c r="N181" s="155">
        <f t="shared" ca="1" si="92"/>
        <v>160900</v>
      </c>
      <c r="O181" s="155">
        <f t="shared" ref="O181:O189" ca="1" si="93">IF(L181&gt;0,N181*100/L181,0)</f>
        <v>104.54840805717998</v>
      </c>
      <c r="P181" s="155">
        <f t="shared" ref="P181:P189" ca="1" si="94">IF(M181&gt;0,N181*100/M181,0)</f>
        <v>95.212734481330259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153900</v>
      </c>
      <c r="M183" s="93">
        <f t="shared" ca="1" si="95"/>
        <v>168990</v>
      </c>
      <c r="N183" s="93">
        <f t="shared" ca="1" si="95"/>
        <v>160900</v>
      </c>
      <c r="O183" s="93">
        <f t="shared" ca="1" si="93"/>
        <v>104.54840805717998</v>
      </c>
      <c r="P183" s="93">
        <f t="shared" ca="1" si="94"/>
        <v>95.212734481330259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153900</v>
      </c>
      <c r="M184" s="497">
        <f t="shared" ca="1" si="96"/>
        <v>168990</v>
      </c>
      <c r="N184" s="497">
        <f t="shared" ca="1" si="96"/>
        <v>160900</v>
      </c>
      <c r="O184" s="497">
        <f t="shared" ca="1" si="93"/>
        <v>104.54840805717998</v>
      </c>
      <c r="P184" s="497">
        <f t="shared" ca="1" si="94"/>
        <v>95.212734481330259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IFERROR(__xludf.DUMMYFUNCTION("IMPORTRANGE(""https://docs.google.com/spreadsheets/d/1MeEWN-I1oV_STSDYn1IFDPWt_1FKiwhDph83XaGc0o0/edit?usp=sharing"",""งบพรบ!CO56"")"),153900)</f>
        <v>153900</v>
      </c>
      <c r="M186" s="93">
        <f ca="1">IFERROR(__xludf.DUMMYFUNCTION("IMPORTRANGE(""https://docs.google.com/spreadsheets/d/1MeEWN-I1oV_STSDYn1IFDPWt_1FKiwhDph83XaGc0o0/edit?usp=sharing"",""งบพรบ!CT56"")"),168990)</f>
        <v>168990</v>
      </c>
      <c r="N186" s="93">
        <f ca="1">IFERROR(__xludf.DUMMYFUNCTION("IMPORTRANGE(""https://docs.google.com/spreadsheets/d/1MeEWN-I1oV_STSDYn1IFDPWt_1FKiwhDph83XaGc0o0/edit?usp=sharing"",""งบพรบ!CV56"")"),160900)</f>
        <v>160900</v>
      </c>
      <c r="O186" s="93">
        <f t="shared" ca="1" si="93"/>
        <v>104.54840805717998</v>
      </c>
      <c r="P186" s="93">
        <f t="shared" ca="1" si="94"/>
        <v>95.212734481330259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IFERROR(__xludf.DUMMYFUNCTION("IMPORTRANGE(""https://docs.google.com/spreadsheets/d/1MeEWN-I1oV_STSDYn1IFDPWt_1FKiwhDph83XaGc0o0/edit?usp=sharing"",""งบพรบ!CR56"")"),0)</f>
        <v>0</v>
      </c>
      <c r="M189" s="93">
        <f ca="1">IFERROR(__xludf.DUMMYFUNCTION("IMPORTRANGE(""https://docs.google.com/spreadsheets/d/1MeEWN-I1oV_STSDYn1IFDPWt_1FKiwhDph83XaGc0o0/edit?usp=sharing"",""งบพรบ!CU56"")"),0)</f>
        <v>0</v>
      </c>
      <c r="N189" s="93">
        <f ca="1">IFERROR(__xludf.DUMMYFUNCTION("IMPORTRANGE(""https://docs.google.com/spreadsheets/d/1MeEWN-I1oV_STSDYn1IFDPWt_1FKiwhDph83XaGc0o0/edit?usp=sharing"",""งบพรบ!CW56"")"),0)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IFERROR(__xludf.DUMMYFUNCTION("IMPORTRANGE(""https://docs.google.com/spreadsheets/d/1QqKyyYR6Q21VydFLVH3TRQUabQu_ym0Zz7PgGX0-kHA/edit?usp=sharing"",""แผน!Z56"")"),6000)</f>
        <v>6000</v>
      </c>
      <c r="M191" s="155"/>
      <c r="N191" s="276">
        <f>860+3320+210</f>
        <v>4390</v>
      </c>
      <c r="O191" s="155">
        <f ca="1">IF(L191&gt;0,N191*100/L191,0)</f>
        <v>73.166666666666671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IFERROR(__xludf.DUMMYFUNCTION("IMPORTRANGE(""https://docs.google.com/spreadsheets/d/1QqKyyYR6Q21VydFLVH3TRQUabQu_ym0Zz7PgGX0-kHA/edit?usp=sharing"",""แผน!AE56"")"),4000)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IFERROR(__xludf.DUMMYFUNCTION("IMPORTRANGE(""https://docs.google.com/spreadsheets/d/1QqKyyYR6Q21VydFLVH3TRQUabQu_ym0Zz7PgGX0-kHA/edit?usp=sharing"",""แผน!AF56"")"),32000)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IFERROR(__xludf.DUMMYFUNCTION("IMPORTRANGE(""https://docs.google.com/spreadsheets/d/1QqKyyYR6Q21VydFLVH3TRQUabQu_ym0Zz7PgGX0-kHA/edit?usp=sharing"",""แผน!AG56"")"),16000)</f>
        <v>16000</v>
      </c>
      <c r="M201" s="497"/>
      <c r="N201" s="284">
        <v>16000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IFERROR(__xludf.DUMMYFUNCTION("IMPORTRANGE(""https://docs.google.com/spreadsheets/d/1QqKyyYR6Q21VydFLVH3TRQUabQu_ym0Zz7PgGX0-kHA/edit?usp=sharing"",""แผน!AH56"")"),5000)</f>
        <v>5000</v>
      </c>
      <c r="M202" s="497"/>
      <c r="N202" s="284">
        <v>5000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IFERROR(__xludf.DUMMYFUNCTION("IMPORTRANGE(""https://docs.google.com/spreadsheets/d/1QqKyyYR6Q21VydFLVH3TRQUabQu_ym0Zz7PgGX0-kHA/edit?usp=sharing"",""แผน!AI56"")"),4)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15900</v>
      </c>
      <c r="M217" s="155"/>
      <c r="N217" s="155">
        <f>N218+N219+N220</f>
        <v>13000</v>
      </c>
      <c r="O217" s="155">
        <f ca="1">IF(L217&gt;0,N217*100/L217,0)</f>
        <v>81.76100628930817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IFERROR(__xludf.DUMMYFUNCTION("IMPORTRANGE(""https://docs.google.com/spreadsheets/d/1QqKyyYR6Q21VydFLVH3TRQUabQu_ym0Zz7PgGX0-kHA/edit?usp=sharing"",""แผน!AP56"")"),3000)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IFERROR(__xludf.DUMMYFUNCTION("IMPORTRANGE(""https://docs.google.com/spreadsheets/d/1QqKyyYR6Q21VydFLVH3TRQUabQu_ym0Zz7PgGX0-kHA/edit?usp=sharing"",""แผน!AQ56"")"),2900)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IFERROR(__xludf.DUMMYFUNCTION("IMPORTRANGE(""https://docs.google.com/spreadsheets/d/1QqKyyYR6Q21VydFLVH3TRQUabQu_ym0Zz7PgGX0-kHA/edit?usp=sharing"",""แผน!AR56"")"),10000)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IFERROR(__xludf.DUMMYFUNCTION("IMPORTRANGE(""https://docs.google.com/spreadsheets/d/1QqKyyYR6Q21VydFLVH3TRQUabQu_ym0Zz7PgGX0-kHA/edit?usp=sharing"",""แผน!AT56"")"),5000)</f>
        <v>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IFERROR(__xludf.DUMMYFUNCTION("IMPORTRANGE(""https://docs.google.com/spreadsheets/d/1QqKyyYR6Q21VydFLVH3TRQUabQu_ym0Zz7PgGX0-kHA/edit?usp=sharing"",""แผน!AT56"")"),5000)</f>
        <v>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75000</v>
      </c>
      <c r="M227" s="356"/>
      <c r="N227" s="356">
        <f t="shared" ref="N227:N231" si="107">N238+N249</f>
        <v>75000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15000</v>
      </c>
      <c r="M229" s="93"/>
      <c r="N229" s="93">
        <f t="shared" si="107"/>
        <v>15000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30000</v>
      </c>
      <c r="M230" s="93"/>
      <c r="N230" s="93">
        <f t="shared" si="107"/>
        <v>30000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75000</v>
      </c>
      <c r="M238" s="155"/>
      <c r="N238" s="155">
        <f>N239+N240+N241+N242</f>
        <v>75000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IFERROR(__xludf.DUMMYFUNCTION("IMPORTRANGE(""https://docs.google.com/spreadsheets/d/1QqKyyYR6Q21VydFLVH3TRQUabQu_ym0Zz7PgGX0-kHA/edit?usp=sharing"",""แผน!AV56"")"),20000)</f>
        <v>20000</v>
      </c>
      <c r="M239" s="283"/>
      <c r="N239" s="872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IFERROR(__xludf.DUMMYFUNCTION("IMPORTRANGE(""https://docs.google.com/spreadsheets/d/1QqKyyYR6Q21VydFLVH3TRQUabQu_ym0Zz7PgGX0-kHA/edit?usp=sharing"",""แผน!AW56"")"),15000)</f>
        <v>15000</v>
      </c>
      <c r="M240" s="283"/>
      <c r="N240" s="872">
        <v>15000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IFERROR(__xludf.DUMMYFUNCTION("IMPORTRANGE(""https://docs.google.com/spreadsheets/d/1QqKyyYR6Q21VydFLVH3TRQUabQu_ym0Zz7PgGX0-kHA/edit?usp=sharing"",""แผน!AX56"")"),30000)</f>
        <v>30000</v>
      </c>
      <c r="M241" s="283"/>
      <c r="N241" s="872">
        <v>30000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IFERROR(__xludf.DUMMYFUNCTION("IMPORTRANGE(""https://docs.google.com/spreadsheets/d/1QqKyyYR6Q21VydFLVH3TRQUabQu_ym0Zz7PgGX0-kHA/edit?usp=sharing"",""แผน!AY56"")"),10000)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IFERROR(__xludf.DUMMYFUNCTION("IMPORTRANGE(""https://docs.google.com/spreadsheets/d/1QqKyyYR6Q21VydFLVH3TRQUabQu_ym0Zz7PgGX0-kHA/edit?usp=sharing"",""แผน!BE56"")"),30)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IFERROR(__xludf.DUMMYFUNCTION("IMPORTRANGE(""https://docs.google.com/spreadsheets/d/1QqKyyYR6Q21VydFLVH3TRQUabQu_ym0Zz7PgGX0-kHA/edit?usp=sharing"",""แผน!AZ56"")"),0)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IFERROR(__xludf.DUMMYFUNCTION("IMPORTRANGE(""https://docs.google.com/spreadsheets/d/1QqKyyYR6Q21VydFLVH3TRQUabQu_ym0Zz7PgGX0-kHA/edit?usp=sharing"",""แผน!BA56"")"),0)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IFERROR(__xludf.DUMMYFUNCTION("IMPORTRANGE(""https://docs.google.com/spreadsheets/d/1QqKyyYR6Q21VydFLVH3TRQUabQu_ym0Zz7PgGX0-kHA/edit?usp=sharing"",""แผน!BB56"")"),0)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IFERROR(__xludf.DUMMYFUNCTION("IMPORTRANGE(""https://docs.google.com/spreadsheets/d/1QqKyyYR6Q21VydFLVH3TRQUabQu_ym0Zz7PgGX0-kHA/edit?usp=sharing"",""แผน!BC56"")"),0)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19275</v>
      </c>
      <c r="O261" s="155">
        <f t="shared" ref="O261:O269" ca="1" si="117">IF(L261&gt;0,N261*100/L261,0)</f>
        <v>77.099999999999994</v>
      </c>
      <c r="P261" s="155">
        <f t="shared" ref="P261:P269" ca="1" si="118">IF(M261&gt;0,N261*100/M261,0)</f>
        <v>77.099999999999994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19275</v>
      </c>
      <c r="O263" s="93">
        <f t="shared" ca="1" si="117"/>
        <v>77.099999999999994</v>
      </c>
      <c r="P263" s="93">
        <f t="shared" ca="1" si="118"/>
        <v>77.099999999999994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19275</v>
      </c>
      <c r="O264" s="497">
        <f t="shared" ca="1" si="117"/>
        <v>77.099999999999994</v>
      </c>
      <c r="P264" s="497">
        <f t="shared" ca="1" si="118"/>
        <v>77.099999999999994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IFERROR(__xludf.DUMMYFUNCTION("IMPORTRANGE(""https://docs.google.com/spreadsheets/d/1MeEWN-I1oV_STSDYn1IFDPWt_1FKiwhDph83XaGc0o0/edit?usp=sharing"",""งบพรบ!CY56"")"),25000)</f>
        <v>25000</v>
      </c>
      <c r="M266" s="93">
        <f ca="1">IFERROR(__xludf.DUMMYFUNCTION("IMPORTRANGE(""https://docs.google.com/spreadsheets/d/1MeEWN-I1oV_STSDYn1IFDPWt_1FKiwhDph83XaGc0o0/edit?usp=sharing"",""งบพรบ!DD56"")"),25000)</f>
        <v>25000</v>
      </c>
      <c r="N266" s="93">
        <f ca="1">IFERROR(__xludf.DUMMYFUNCTION("IMPORTRANGE(""https://docs.google.com/spreadsheets/d/1MeEWN-I1oV_STSDYn1IFDPWt_1FKiwhDph83XaGc0o0/edit?usp=sharing"",""งบพรบ!DF56"")"),19275)</f>
        <v>19275</v>
      </c>
      <c r="O266" s="93">
        <f t="shared" ca="1" si="117"/>
        <v>77.099999999999994</v>
      </c>
      <c r="P266" s="93">
        <f t="shared" ca="1" si="118"/>
        <v>77.099999999999994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IFERROR(__xludf.DUMMYFUNCTION("IMPORTRANGE(""https://docs.google.com/spreadsheets/d/1MeEWN-I1oV_STSDYn1IFDPWt_1FKiwhDph83XaGc0o0/edit?usp=sharing"",""งบพรบ!DB56"")"),0)</f>
        <v>0</v>
      </c>
      <c r="M269" s="93">
        <f ca="1">IFERROR(__xludf.DUMMYFUNCTION("IMPORTRANGE(""https://docs.google.com/spreadsheets/d/1MeEWN-I1oV_STSDYn1IFDPWt_1FKiwhDph83XaGc0o0/edit?usp=sharing"",""งบพรบ!DE56"")"),0)</f>
        <v>0</v>
      </c>
      <c r="N269" s="93">
        <f ca="1">IFERROR(__xludf.DUMMYFUNCTION("IMPORTRANGE(""https://docs.google.com/spreadsheets/d/1MeEWN-I1oV_STSDYn1IFDPWt_1FKiwhDph83XaGc0o0/edit?usp=sharing"",""งบพรบ!DG56"")"),0)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IFERROR(__xludf.DUMMYFUNCTION("IMPORTRANGE(""https://docs.google.com/spreadsheets/d/1QqKyyYR6Q21VydFLVH3TRQUabQu_ym0Zz7PgGX0-kHA/edit?usp=sharing"",""แผน!EA56"")"),20)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163030</v>
      </c>
      <c r="M277" s="155">
        <f t="shared" ca="1" si="125"/>
        <v>163030</v>
      </c>
      <c r="N277" s="155">
        <f t="shared" ca="1" si="125"/>
        <v>101573</v>
      </c>
      <c r="O277" s="155">
        <f t="shared" ref="O277:O285" ca="1" si="126">IF(L277&gt;0,N277*100/L277,0)</f>
        <v>62.30325706925106</v>
      </c>
      <c r="P277" s="155">
        <f t="shared" ref="P277:P285" ca="1" si="127">IF(M277&gt;0,N277*100/M277,0)</f>
        <v>62.30325706925106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163030</v>
      </c>
      <c r="M279" s="93">
        <f t="shared" ca="1" si="128"/>
        <v>163030</v>
      </c>
      <c r="N279" s="93">
        <f t="shared" ca="1" si="128"/>
        <v>101573</v>
      </c>
      <c r="O279" s="93">
        <f t="shared" ca="1" si="126"/>
        <v>62.30325706925106</v>
      </c>
      <c r="P279" s="93">
        <f t="shared" ca="1" si="127"/>
        <v>62.30325706925106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163030</v>
      </c>
      <c r="M280" s="497">
        <f t="shared" ca="1" si="129"/>
        <v>163030</v>
      </c>
      <c r="N280" s="497">
        <f t="shared" ca="1" si="129"/>
        <v>101573</v>
      </c>
      <c r="O280" s="497">
        <f t="shared" ca="1" si="126"/>
        <v>62.30325706925106</v>
      </c>
      <c r="P280" s="497">
        <f t="shared" ca="1" si="127"/>
        <v>62.30325706925106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IFERROR(__xludf.DUMMYFUNCTION("IMPORTRANGE(""https://docs.google.com/spreadsheets/d/1MeEWN-I1oV_STSDYn1IFDPWt_1FKiwhDph83XaGc0o0/edit?usp=sharing"",""งบพรบ!DI56"")"),163030)</f>
        <v>163030</v>
      </c>
      <c r="M282" s="93">
        <f ca="1">IFERROR(__xludf.DUMMYFUNCTION("IMPORTRANGE(""https://docs.google.com/spreadsheets/d/1MeEWN-I1oV_STSDYn1IFDPWt_1FKiwhDph83XaGc0o0/edit?usp=sharing"",""งบพรบ!DN56"")"),163030)</f>
        <v>163030</v>
      </c>
      <c r="N282" s="93">
        <f ca="1">IFERROR(__xludf.DUMMYFUNCTION("IMPORTRANGE(""https://docs.google.com/spreadsheets/d/1MeEWN-I1oV_STSDYn1IFDPWt_1FKiwhDph83XaGc0o0/edit?usp=sharing"",""งบพรบ!DP56"")"),101573)</f>
        <v>101573</v>
      </c>
      <c r="O282" s="93">
        <f t="shared" ca="1" si="126"/>
        <v>62.30325706925106</v>
      </c>
      <c r="P282" s="93">
        <f t="shared" ca="1" si="127"/>
        <v>62.30325706925106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IFERROR(__xludf.DUMMYFUNCTION("IMPORTRANGE(""https://docs.google.com/spreadsheets/d/1MeEWN-I1oV_STSDYn1IFDPWt_1FKiwhDph83XaGc0o0/edit?usp=sharing"",""งบพรบ!DL56"")"),0)</f>
        <v>0</v>
      </c>
      <c r="M285" s="93">
        <f ca="1">IFERROR(__xludf.DUMMYFUNCTION("IMPORTRANGE(""https://docs.google.com/spreadsheets/d/1MeEWN-I1oV_STSDYn1IFDPWt_1FKiwhDph83XaGc0o0/edit?usp=sharing"",""งบพรบ!DO56"")"),0)</f>
        <v>0</v>
      </c>
      <c r="N285" s="93">
        <f ca="1">IFERROR(__xludf.DUMMYFUNCTION("IMPORTRANGE(""https://docs.google.com/spreadsheets/d/1MeEWN-I1oV_STSDYn1IFDPWt_1FKiwhDph83XaGc0o0/edit?usp=sharing"",""งบพรบ!DQ56"")"),0)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IFERROR(__xludf.DUMMYFUNCTION("IMPORTRANGE(""https://docs.google.com/spreadsheets/d/1QqKyyYR6Q21VydFLVH3TRQUabQu_ym0Zz7PgGX0-kHA/edit?usp=sharing"",""แผน!EC56"")"),50)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IFERROR(__xludf.DUMMYFUNCTION("IMPORTRANGE(""https://docs.google.com/spreadsheets/d/1QqKyyYR6Q21VydFLVH3TRQUabQu_ym0Zz7PgGX0-kHA/edit?usp=sharing"",""แผน!EB56"")"),5)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IFERROR(__xludf.DUMMYFUNCTION("IMPORTRANGE(""https://docs.google.com/spreadsheets/d/1QqKyyYR6Q21VydFLVH3TRQUabQu_ym0Zz7PgGX0-kHA/edit?usp=sharing"",""แผน!EB56"")"),5)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IFERROR(__xludf.DUMMYFUNCTION("IMPORTRANGE(""https://docs.google.com/spreadsheets/d/1QqKyyYR6Q21VydFLVH3TRQUabQu_ym0Zz7PgGX0-kHA/edit?usp=sharing"",""แผน!EB56"")"),5)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IFERROR(__xludf.DUMMYFUNCTION("IMPORTRANGE(""https://docs.google.com/spreadsheets/d/1QqKyyYR6Q21VydFLVH3TRQUabQu_ym0Zz7PgGX0-kHA/edit?usp=sharing"",""แผน!EB56"")"),5)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IFERROR(__xludf.DUMMYFUNCTION("IMPORTRANGE(""https://docs.google.com/spreadsheets/d/1QqKyyYR6Q21VydFLVH3TRQUabQu_ym0Zz7PgGX0-kHA/edit?usp=sharing"",""แผน!EB56"")"),5)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206800</v>
      </c>
      <c r="N298" s="155">
        <f t="shared" ca="1" si="135"/>
        <v>162950.6</v>
      </c>
      <c r="O298" s="155">
        <f t="shared" ref="O298:O306" ca="1" si="136">IF(L298&gt;0,N298*100/L298,0)</f>
        <v>78.796228239845263</v>
      </c>
      <c r="P298" s="155">
        <f t="shared" ref="P298:P306" ca="1" si="137">IF(M298&gt;0,N298*100/M298,0)</f>
        <v>78.796228239845263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206800</v>
      </c>
      <c r="N300" s="93">
        <f t="shared" ca="1" si="138"/>
        <v>162950.6</v>
      </c>
      <c r="O300" s="93">
        <f t="shared" ca="1" si="136"/>
        <v>78.796228239845263</v>
      </c>
      <c r="P300" s="93">
        <f t="shared" ca="1" si="137"/>
        <v>78.796228239845263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206800</v>
      </c>
      <c r="N301" s="497">
        <f t="shared" ca="1" si="139"/>
        <v>162950.6</v>
      </c>
      <c r="O301" s="497">
        <f t="shared" ca="1" si="136"/>
        <v>78.796228239845263</v>
      </c>
      <c r="P301" s="497">
        <f t="shared" ca="1" si="137"/>
        <v>78.796228239845263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IFERROR(__xludf.DUMMYFUNCTION("IMPORTRANGE(""https://docs.google.com/spreadsheets/d/1MeEWN-I1oV_STSDYn1IFDPWt_1FKiwhDph83XaGc0o0/edit?usp=sharing"",""งบพรบ!DS56"")"),206800)</f>
        <v>206800</v>
      </c>
      <c r="M303" s="93">
        <f ca="1">IFERROR(__xludf.DUMMYFUNCTION("IMPORTRANGE(""https://docs.google.com/spreadsheets/d/1MeEWN-I1oV_STSDYn1IFDPWt_1FKiwhDph83XaGc0o0/edit?usp=sharing"",""งบพรบ!DX56"")"),206800)</f>
        <v>206800</v>
      </c>
      <c r="N303" s="93">
        <f ca="1">IFERROR(__xludf.DUMMYFUNCTION("IMPORTRANGE(""https://docs.google.com/spreadsheets/d/1MeEWN-I1oV_STSDYn1IFDPWt_1FKiwhDph83XaGc0o0/edit?usp=sharing"",""งบพรบ!DZ56"")"),162950.6)</f>
        <v>162950.6</v>
      </c>
      <c r="O303" s="93">
        <f t="shared" ca="1" si="136"/>
        <v>78.796228239845263</v>
      </c>
      <c r="P303" s="93">
        <f t="shared" ca="1" si="137"/>
        <v>78.796228239845263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IFERROR(__xludf.DUMMYFUNCTION("IMPORTRANGE(""https://docs.google.com/spreadsheets/d/1MeEWN-I1oV_STSDYn1IFDPWt_1FKiwhDph83XaGc0o0/edit?usp=sharing"",""งบพรบ!DV56"")"),0)</f>
        <v>0</v>
      </c>
      <c r="M306" s="93">
        <f ca="1">IFERROR(__xludf.DUMMYFUNCTION("IMPORTRANGE(""https://docs.google.com/spreadsheets/d/1MeEWN-I1oV_STSDYn1IFDPWt_1FKiwhDph83XaGc0o0/edit?usp=sharing"",""งบพรบ!DY56"")"),0)</f>
        <v>0</v>
      </c>
      <c r="N306" s="93">
        <f ca="1">IFERROR(__xludf.DUMMYFUNCTION("IMPORTRANGE(""https://docs.google.com/spreadsheets/d/1MeEWN-I1oV_STSDYn1IFDPWt_1FKiwhDph83XaGc0o0/edit?usp=sharing"",""งบพรบ!EA56"")"),0)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IFERROR(__xludf.DUMMYFUNCTION("IMPORTRANGE(""https://docs.google.com/spreadsheets/d/1QqKyyYR6Q21VydFLVH3TRQUabQu_ym0Zz7PgGX0-kHA/edit?usp=sharing"",""แผน!ED56"")"),15)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IFERROR(__xludf.DUMMYFUNCTION("IMPORTRANGE(""https://docs.google.com/spreadsheets/d/1QqKyyYR6Q21VydFLVH3TRQUabQu_ym0Zz7PgGX0-kHA/edit?usp=sharing"",""แผน!ED56"")"),15)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IFERROR(__xludf.DUMMYFUNCTION("IMPORTRANGE(""https://docs.google.com/spreadsheets/d/1QqKyyYR6Q21VydFLVH3TRQUabQu_ym0Zz7PgGX0-kHA/edit?usp=sharing"",""แผน!ED56"")"),15)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IFERROR(__xludf.DUMMYFUNCTION("IMPORTRANGE(""https://docs.google.com/spreadsheets/d/1QqKyyYR6Q21VydFLVH3TRQUabQu_ym0Zz7PgGX0-kHA/edit?usp=sharing"",""แผน!EE56"")"),3)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153000</v>
      </c>
      <c r="N315" s="155">
        <f t="shared" ca="1" si="143"/>
        <v>89799</v>
      </c>
      <c r="O315" s="155">
        <f t="shared" ref="O315:O323" ca="1" si="144">IF(L315&gt;0,N315*100/L315,0)</f>
        <v>58.692156862745101</v>
      </c>
      <c r="P315" s="155">
        <f t="shared" ref="P315:P323" ca="1" si="145">IF(M315&gt;0,N315*100/M315,0)</f>
        <v>58.692156862745101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153000</v>
      </c>
      <c r="N317" s="93">
        <f t="shared" ca="1" si="146"/>
        <v>89799</v>
      </c>
      <c r="O317" s="93">
        <f t="shared" ca="1" si="144"/>
        <v>58.692156862745101</v>
      </c>
      <c r="P317" s="93">
        <f t="shared" ca="1" si="145"/>
        <v>58.692156862745101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153000</v>
      </c>
      <c r="N318" s="497">
        <f t="shared" ca="1" si="147"/>
        <v>89799</v>
      </c>
      <c r="O318" s="497">
        <f t="shared" ca="1" si="144"/>
        <v>58.692156862745101</v>
      </c>
      <c r="P318" s="497">
        <f t="shared" ca="1" si="145"/>
        <v>58.692156862745101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IFERROR(__xludf.DUMMYFUNCTION("IMPORTRANGE(""https://docs.google.com/spreadsheets/d/1MeEWN-I1oV_STSDYn1IFDPWt_1FKiwhDph83XaGc0o0/edit?usp=sharing"",""งบพรบ!EC56"")"),153000)</f>
        <v>153000</v>
      </c>
      <c r="M320" s="93">
        <f ca="1">IFERROR(__xludf.DUMMYFUNCTION("IMPORTRANGE(""https://docs.google.com/spreadsheets/d/1MeEWN-I1oV_STSDYn1IFDPWt_1FKiwhDph83XaGc0o0/edit?usp=sharing"",""งบพรบ!EH56"")"),153000)</f>
        <v>153000</v>
      </c>
      <c r="N320" s="93">
        <f ca="1">IFERROR(__xludf.DUMMYFUNCTION("IMPORTRANGE(""https://docs.google.com/spreadsheets/d/1MeEWN-I1oV_STSDYn1IFDPWt_1FKiwhDph83XaGc0o0/edit?usp=sharing"",""งบพรบ!EJ56"")"),89799)</f>
        <v>89799</v>
      </c>
      <c r="O320" s="93">
        <f t="shared" ca="1" si="144"/>
        <v>58.692156862745101</v>
      </c>
      <c r="P320" s="93">
        <f t="shared" ca="1" si="145"/>
        <v>58.692156862745101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IFERROR(__xludf.DUMMYFUNCTION("IMPORTRANGE(""https://docs.google.com/spreadsheets/d/1MeEWN-I1oV_STSDYn1IFDPWt_1FKiwhDph83XaGc0o0/edit?usp=sharing"",""งบพรบ!EF56"")"),0)</f>
        <v>0</v>
      </c>
      <c r="M323" s="93">
        <f ca="1">IFERROR(__xludf.DUMMYFUNCTION("IMPORTRANGE(""https://docs.google.com/spreadsheets/d/1MeEWN-I1oV_STSDYn1IFDPWt_1FKiwhDph83XaGc0o0/edit?usp=sharing"",""งบพรบ!EI56"")"),0)</f>
        <v>0</v>
      </c>
      <c r="N323" s="93">
        <f ca="1">IFERROR(__xludf.DUMMYFUNCTION("IMPORTRANGE(""https://docs.google.com/spreadsheets/d/1MeEWN-I1oV_STSDYn1IFDPWt_1FKiwhDph83XaGc0o0/edit?usp=sharing"",""งบพรบ!EK56"")"),0)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IFERROR(__xludf.DUMMYFUNCTION("IMPORTRANGE(""https://docs.google.com/spreadsheets/d/1QqKyyYR6Q21VydFLVH3TRQUabQu_ym0Zz7PgGX0-kHA/edit?usp=sharing"",""แผน!EG56"")"),1400)</f>
        <v>1400</v>
      </c>
      <c r="J327" s="444">
        <f ca="1">J338+J341+J342+J343</f>
        <v>2025</v>
      </c>
      <c r="K327" s="445">
        <f ca="1">IF(I327&gt;0,J327*100/I327,0)</f>
        <v>144.64285714285714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1016000</v>
      </c>
      <c r="M328" s="155">
        <f t="shared" ca="1" si="149"/>
        <v>1048500</v>
      </c>
      <c r="N328" s="155">
        <f t="shared" ca="1" si="149"/>
        <v>1019903.77</v>
      </c>
      <c r="O328" s="155">
        <f t="shared" ref="O328:O336" ca="1" si="150">IF(L328&gt;0,N328*100/L328,0)</f>
        <v>100.38422933070866</v>
      </c>
      <c r="P328" s="155">
        <f t="shared" ref="P328:P336" ca="1" si="151">IF(M328&gt;0,N328*100/M328,0)</f>
        <v>97.272653314258463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1016000</v>
      </c>
      <c r="M330" s="93">
        <f t="shared" ca="1" si="152"/>
        <v>1048500</v>
      </c>
      <c r="N330" s="93">
        <f t="shared" ca="1" si="152"/>
        <v>1019903.77</v>
      </c>
      <c r="O330" s="93">
        <f t="shared" ca="1" si="150"/>
        <v>100.38422933070866</v>
      </c>
      <c r="P330" s="93">
        <f t="shared" ca="1" si="151"/>
        <v>97.272653314258463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168500</v>
      </c>
      <c r="N331" s="497">
        <f t="shared" ca="1" si="153"/>
        <v>139903.76999999999</v>
      </c>
      <c r="O331" s="497">
        <f t="shared" ca="1" si="150"/>
        <v>84.279379518072275</v>
      </c>
      <c r="P331" s="497">
        <f t="shared" ca="1" si="151"/>
        <v>83.028943620178026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IFERROR(__xludf.DUMMYFUNCTION("IMPORTRANGE(""https://docs.google.com/spreadsheets/d/1MeEWN-I1oV_STSDYn1IFDPWt_1FKiwhDph83XaGc0o0/edit?usp=sharing"",""งบพรบ!EM56"")"),166000)</f>
        <v>166000</v>
      </c>
      <c r="M333" s="93">
        <f ca="1">IFERROR(__xludf.DUMMYFUNCTION("IMPORTRANGE(""https://docs.google.com/spreadsheets/d/1MeEWN-I1oV_STSDYn1IFDPWt_1FKiwhDph83XaGc0o0/edit?usp=sharing"",""งบพรบ!ER56"")"),168500)</f>
        <v>168500</v>
      </c>
      <c r="N333" s="93">
        <f ca="1">IFERROR(__xludf.DUMMYFUNCTION("IMPORTRANGE(""https://docs.google.com/spreadsheets/d/1MeEWN-I1oV_STSDYn1IFDPWt_1FKiwhDph83XaGc0o0/edit?usp=sharing"",""งบพรบ!ET56"")"),139903.77)</f>
        <v>139903.76999999999</v>
      </c>
      <c r="O333" s="93">
        <f t="shared" ca="1" si="150"/>
        <v>84.279379518072275</v>
      </c>
      <c r="P333" s="93">
        <f t="shared" ca="1" si="151"/>
        <v>83.028943620178026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880000</v>
      </c>
      <c r="N334" s="497">
        <f t="shared" ca="1" si="154"/>
        <v>880000</v>
      </c>
      <c r="O334" s="497">
        <f t="shared" ca="1" si="150"/>
        <v>103.52941176470588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IFERROR(__xludf.DUMMYFUNCTION("IMPORTRANGE(""https://docs.google.com/spreadsheets/d/1MeEWN-I1oV_STSDYn1IFDPWt_1FKiwhDph83XaGc0o0/edit?usp=sharing"",""งบพรบ!EP56"")"),850000)</f>
        <v>850000</v>
      </c>
      <c r="M336" s="93">
        <f ca="1">IFERROR(__xludf.DUMMYFUNCTION("IMPORTRANGE(""https://docs.google.com/spreadsheets/d/1MeEWN-I1oV_STSDYn1IFDPWt_1FKiwhDph83XaGc0o0/edit?usp=sharing"",""งบพรบ!ES56"")"),880000)</f>
        <v>880000</v>
      </c>
      <c r="N336" s="93">
        <f ca="1">IFERROR(__xludf.DUMMYFUNCTION("IMPORTRANGE(""https://docs.google.com/spreadsheets/d/1MeEWN-I1oV_STSDYn1IFDPWt_1FKiwhDph83XaGc0o0/edit?usp=sharing"",""งบพรบ!EU56"")"),880000)</f>
        <v>880000</v>
      </c>
      <c r="O336" s="93">
        <f t="shared" ca="1" si="150"/>
        <v>103.52941176470588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IFERROR(__xludf.DUMMYFUNCTION("IMPORTRANGE(""https://docs.google.com/spreadsheets/d/1QqKyyYR6Q21VydFLVH3TRQUabQu_ym0Zz7PgGX0-kHA/edit?usp=sharing"",""แผน!EG56"")"),1400)</f>
        <v>1400</v>
      </c>
      <c r="J338" s="270">
        <f ca="1">IFERROR(__xludf.DUMMYFUNCTION("IMPORTRANGE(""https://docs.google.com/spreadsheets/d/1kVcqe37tkHyjCSG3S0O1AXqVkqjo8mSIZil3BcpIysc/edit?usp=sharing"",""ศูนย์!D56"")"),1995)</f>
        <v>1995</v>
      </c>
      <c r="K338" s="497">
        <f ca="1">IF(I338&gt;0,J338*100/I338,0)</f>
        <v>142.5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IFERROR(__xludf.DUMMYFUNCTION("IMPORTRANGE(""https://docs.google.com/spreadsheets/d/1QqKyyYR6Q21VydFLVH3TRQUabQu_ym0Zz7PgGX0-kHA/edit?usp=sharing"",""แผน!EH56"")"),4)</f>
        <v>4</v>
      </c>
      <c r="J340" s="270">
        <f ca="1">IFERROR(__xludf.DUMMYFUNCTION("IMPORTRANGE(""https://docs.google.com/spreadsheets/d/1kVcqe37tkHyjCSG3S0O1AXqVkqjo8mSIZil3BcpIysc/edit?usp=sharing"",""ศูนย์!E56"")"),1)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IFERROR(__xludf.DUMMYFUNCTION("IMPORTRANGE(""https://docs.google.com/spreadsheets/d/1kVcqe37tkHyjCSG3S0O1AXqVkqjo8mSIZil3BcpIysc/edit?usp=sharing"",""ศูนย์!F56"")"),30)</f>
        <v>30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IFERROR(__xludf.DUMMYFUNCTION("IMPORTRANGE(""https://docs.google.com/spreadsheets/d/1kVcqe37tkHyjCSG3S0O1AXqVkqjo8mSIZil3BcpIysc/edit?usp=sharing"",""ศูนย์!H56"")"),0)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867850</v>
      </c>
      <c r="M345" s="155">
        <f t="shared" ca="1" si="155"/>
        <v>824850</v>
      </c>
      <c r="N345" s="155">
        <f t="shared" ca="1" si="155"/>
        <v>712720.1</v>
      </c>
      <c r="O345" s="155">
        <f t="shared" ref="O345:O353" ca="1" si="156">IF(L345&gt;0,N345*100/L345,0)</f>
        <v>82.124802673273038</v>
      </c>
      <c r="P345" s="155">
        <f t="shared" ref="P345:P353" ca="1" si="157">IF(M345&gt;0,N345*100/M345,0)</f>
        <v>86.406025337940235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867850</v>
      </c>
      <c r="M347" s="93">
        <f t="shared" ca="1" si="158"/>
        <v>824850</v>
      </c>
      <c r="N347" s="93">
        <f t="shared" ca="1" si="158"/>
        <v>712720.1</v>
      </c>
      <c r="O347" s="93">
        <f t="shared" ca="1" si="156"/>
        <v>82.124802673273038</v>
      </c>
      <c r="P347" s="93">
        <f t="shared" ca="1" si="157"/>
        <v>86.406025337940235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822850</v>
      </c>
      <c r="M348" s="497">
        <f t="shared" ca="1" si="159"/>
        <v>779850</v>
      </c>
      <c r="N348" s="497">
        <f t="shared" ca="1" si="159"/>
        <v>667720.1</v>
      </c>
      <c r="O348" s="497">
        <f t="shared" ca="1" si="156"/>
        <v>81.147244333718177</v>
      </c>
      <c r="P348" s="497">
        <f t="shared" ca="1" si="157"/>
        <v>85.621606719240873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IFERROR(__xludf.DUMMYFUNCTION("IMPORTRANGE(""https://docs.google.com/spreadsheets/d/1MeEWN-I1oV_STSDYn1IFDPWt_1FKiwhDph83XaGc0o0/edit?usp=sharing"",""งบพรบ!EW56"")"),822850)</f>
        <v>822850</v>
      </c>
      <c r="M350" s="93">
        <f ca="1">IFERROR(__xludf.DUMMYFUNCTION("IMPORTRANGE(""https://docs.google.com/spreadsheets/d/1MeEWN-I1oV_STSDYn1IFDPWt_1FKiwhDph83XaGc0o0/edit?usp=sharing"",""งบพรบ!FB56"")"),779850)</f>
        <v>779850</v>
      </c>
      <c r="N350" s="93">
        <f ca="1">IFERROR(__xludf.DUMMYFUNCTION("IMPORTRANGE(""https://docs.google.com/spreadsheets/d/1MeEWN-I1oV_STSDYn1IFDPWt_1FKiwhDph83XaGc0o0/edit?usp=sharing"",""งบพรบ!FD56"")"),667720.1)</f>
        <v>667720.1</v>
      </c>
      <c r="O350" s="93">
        <f t="shared" ca="1" si="156"/>
        <v>81.147244333718177</v>
      </c>
      <c r="P350" s="93">
        <f t="shared" ca="1" si="157"/>
        <v>85.621606719240873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45000</v>
      </c>
      <c r="M351" s="497">
        <f t="shared" ca="1" si="160"/>
        <v>45000</v>
      </c>
      <c r="N351" s="497">
        <f t="shared" ca="1" si="160"/>
        <v>45000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IFERROR(__xludf.DUMMYFUNCTION("IMPORTRANGE(""https://docs.google.com/spreadsheets/d/1MeEWN-I1oV_STSDYn1IFDPWt_1FKiwhDph83XaGc0o0/edit?usp=sharing"",""งบพรบ!EZ56"")"),45000)</f>
        <v>45000</v>
      </c>
      <c r="M353" s="93">
        <f ca="1">IFERROR(__xludf.DUMMYFUNCTION("IMPORTRANGE(""https://docs.google.com/spreadsheets/d/1MeEWN-I1oV_STSDYn1IFDPWt_1FKiwhDph83XaGc0o0/edit?usp=sharing"",""งบพรบ!FC56"")"),45000)</f>
        <v>45000</v>
      </c>
      <c r="N353" s="93">
        <f ca="1">IFERROR(__xludf.DUMMYFUNCTION("IMPORTRANGE(""https://docs.google.com/spreadsheets/d/1MeEWN-I1oV_STSDYn1IFDPWt_1FKiwhDph83XaGc0o0/edit?usp=sharing"",""งบพรบ!FE56"")"),45000)</f>
        <v>45000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IFERROR(__xludf.DUMMYFUNCTION("IMPORTRANGE(""https://docs.google.com/spreadsheets/d/1QqKyyYR6Q21VydFLVH3TRQUabQu_ym0Zz7PgGX0-kHA/edit?usp=sharing"",""แผน!EP56"")"),270)</f>
        <v>270</v>
      </c>
      <c r="J355" s="464">
        <f ca="1">J362</f>
        <v>298</v>
      </c>
      <c r="K355" s="465">
        <f ca="1">IF(I355&gt;0,J355*100/I355,0)</f>
        <v>110.37037037037037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IFERROR(__xludf.DUMMYFUNCTION("IMPORTRANGE(""https://docs.google.com/spreadsheets/d/1XWAQStnk-4SwqDmLtmXYiTMKHgktTP8We1SCoS47DrQ/edit?usp=sharing"",""จัดที่ดิน!W56"")"),374)</f>
        <v>374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IFERROR(__xludf.DUMMYFUNCTION("IMPORTRANGE(""https://docs.google.com/spreadsheets/d/1QqKyyYR6Q21VydFLVH3TRQUabQu_ym0Zz7PgGX0-kHA/edit?usp=sharing"",""แผน!EO56"")"),3000)</f>
        <v>3000</v>
      </c>
      <c r="J359" s="270">
        <f ca="1">IFERROR(__xludf.DUMMYFUNCTION("IMPORTRANGE(""https://docs.google.com/spreadsheets/d/1XWAQStnk-4SwqDmLtmXYiTMKHgktTP8We1SCoS47DrQ/edit?usp=sharing"",""จัดที่ดิน!X56"")"),3291.5)</f>
        <v>3291.5</v>
      </c>
      <c r="K359" s="497">
        <f t="shared" ca="1" si="161"/>
        <v>109.71666666666667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IFERROR(__xludf.DUMMYFUNCTION("IMPORTRANGE(""https://docs.google.com/spreadsheets/d/1QqKyyYR6Q21VydFLVH3TRQUabQu_ym0Zz7PgGX0-kHA/edit?usp=sharing"",""แผน!EP56"")"),270)</f>
        <v>270</v>
      </c>
      <c r="J360" s="270">
        <f ca="1">IFERROR(__xludf.DUMMYFUNCTION("IMPORTRANGE(""https://docs.google.com/spreadsheets/d/1XWAQStnk-4SwqDmLtmXYiTMKHgktTP8We1SCoS47DrQ/edit?usp=sharing"",""จัดที่ดิน!Y56"")"),300)</f>
        <v>300</v>
      </c>
      <c r="K360" s="497">
        <f t="shared" ca="1" si="161"/>
        <v>111.11111111111111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IFERROR(__xludf.DUMMYFUNCTION("IMPORTRANGE(""https://docs.google.com/spreadsheets/d/1XWAQStnk-4SwqDmLtmXYiTMKHgktTP8We1SCoS47DrQ/edit?usp=sharing"",""จัดที่ดิน!Z56"")"),2172.05)</f>
        <v>2172.0500000000002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IFERROR(__xludf.DUMMYFUNCTION("IMPORTRANGE(""https://docs.google.com/spreadsheets/d/1QqKyyYR6Q21VydFLVH3TRQUabQu_ym0Zz7PgGX0-kHA/edit?usp=sharing"",""แผน!EP56"")"),270)</f>
        <v>270</v>
      </c>
      <c r="J362" s="270">
        <f ca="1">IFERROR(__xludf.DUMMYFUNCTION("IMPORTRANGE(""https://docs.google.com/spreadsheets/d/1XWAQStnk-4SwqDmLtmXYiTMKHgktTP8We1SCoS47DrQ/edit?usp=sharing"",""จัดที่ดิน!AA56"")"),298)</f>
        <v>298</v>
      </c>
      <c r="K362" s="497">
        <f t="shared" ca="1" si="161"/>
        <v>110.37037037037037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IFERROR(__xludf.DUMMYFUNCTION("IMPORTRANGE(""https://docs.google.com/spreadsheets/d/1XWAQStnk-4SwqDmLtmXYiTMKHgktTP8We1SCoS47DrQ/edit?usp=sharing"",""จัดที่ดิน!AB56"")"),2604.99)</f>
        <v>2604.9899999999998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420</v>
      </c>
      <c r="J364" s="478">
        <f t="shared" ca="1" si="162"/>
        <v>475</v>
      </c>
      <c r="K364" s="479">
        <f t="shared" ca="1" si="161"/>
        <v>113.0952380952381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IFERROR(__xludf.DUMMYFUNCTION("IMPORTRANGE(""https://docs.google.com/spreadsheets/d/1QqKyyYR6Q21VydFLVH3TRQUabQu_ym0Zz7PgGX0-kHA/edit?usp=sharing"",""แผน!EJ56"")"),200)</f>
        <v>200</v>
      </c>
      <c r="J365" s="490">
        <f ca="1">J372</f>
        <v>181</v>
      </c>
      <c r="K365" s="491">
        <f t="shared" ca="1" si="161"/>
        <v>90.5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IFERROR(__xludf.DUMMYFUNCTION("IMPORTRANGE(""https://docs.google.com/spreadsheets/d/1XWAQStnk-4SwqDmLtmXYiTMKHgktTP8We1SCoS47DrQ/edit?usp=sharing"",""จัดที่ดิน!E56"")"),245)</f>
        <v>245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IFERROR(__xludf.DUMMYFUNCTION("IMPORTRANGE(""https://docs.google.com/spreadsheets/d/1QqKyyYR6Q21VydFLVH3TRQUabQu_ym0Zz7PgGX0-kHA/edit?usp=sharing"",""แผน!EI56"")"),2000)</f>
        <v>2000</v>
      </c>
      <c r="J369" s="270">
        <f ca="1">IFERROR(__xludf.DUMMYFUNCTION("IMPORTRANGE(""https://docs.google.com/spreadsheets/d/1XWAQStnk-4SwqDmLtmXYiTMKHgktTP8We1SCoS47DrQ/edit?usp=sharing"",""จัดที่ดิน!F56"")"),2254.11)</f>
        <v>2254.11</v>
      </c>
      <c r="K369" s="497">
        <f t="shared" ca="1" si="163"/>
        <v>112.7055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IFERROR(__xludf.DUMMYFUNCTION("IMPORTRANGE(""https://docs.google.com/spreadsheets/d/1QqKyyYR6Q21VydFLVH3TRQUabQu_ym0Zz7PgGX0-kHA/edit?usp=sharing"",""แผน!EJ56"")"),200)</f>
        <v>200</v>
      </c>
      <c r="J370" s="270">
        <f ca="1">IFERROR(__xludf.DUMMYFUNCTION("IMPORTRANGE(""https://docs.google.com/spreadsheets/d/1XWAQStnk-4SwqDmLtmXYiTMKHgktTP8We1SCoS47DrQ/edit?usp=sharing"",""จัดที่ดิน!G56"")"),179)</f>
        <v>179</v>
      </c>
      <c r="K370" s="497">
        <f t="shared" ca="1" si="163"/>
        <v>89.5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IFERROR(__xludf.DUMMYFUNCTION("IMPORTRANGE(""https://docs.google.com/spreadsheets/d/1XWAQStnk-4SwqDmLtmXYiTMKHgktTP8We1SCoS47DrQ/edit?usp=sharing"",""จัดที่ดิน!H56"")"),1225.17)</f>
        <v>1225.17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IFERROR(__xludf.DUMMYFUNCTION("IMPORTRANGE(""https://docs.google.com/spreadsheets/d/1QqKyyYR6Q21VydFLVH3TRQUabQu_ym0Zz7PgGX0-kHA/edit?usp=sharing"",""แผน!EJ56"")"),200)</f>
        <v>200</v>
      </c>
      <c r="J372" s="270">
        <f ca="1">IFERROR(__xludf.DUMMYFUNCTION("IMPORTRANGE(""https://docs.google.com/spreadsheets/d/1XWAQStnk-4SwqDmLtmXYiTMKHgktTP8We1SCoS47DrQ/edit?usp=sharing"",""จัดที่ดิน!I56"")"),181)</f>
        <v>181</v>
      </c>
      <c r="K372" s="497">
        <f t="shared" ca="1" si="163"/>
        <v>90.5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IFERROR(__xludf.DUMMYFUNCTION("IMPORTRANGE(""https://docs.google.com/spreadsheets/d/1XWAQStnk-4SwqDmLtmXYiTMKHgktTP8We1SCoS47DrQ/edit?usp=sharing"",""จัดที่ดิน!J56"")"),1645.27)</f>
        <v>1645.27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IFERROR(__xludf.DUMMYFUNCTION("IMPORTRANGE(""https://docs.google.com/spreadsheets/d/1QqKyyYR6Q21VydFLVH3TRQUabQu_ym0Zz7PgGX0-kHA/edit?usp=sharing"",""แผน!EU56"")"),220)</f>
        <v>220</v>
      </c>
      <c r="J374" s="490">
        <f ca="1">J381</f>
        <v>294</v>
      </c>
      <c r="K374" s="491">
        <f t="shared" ca="1" si="163"/>
        <v>133.63636363636363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IFERROR(__xludf.DUMMYFUNCTION("IMPORTRANGE(""https://docs.google.com/spreadsheets/d/1XWAQStnk-4SwqDmLtmXYiTMKHgktTP8We1SCoS47DrQ/edit?usp=sharing"",""จัดที่ดิน!AH56"")"),129)</f>
        <v>129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IFERROR(__xludf.DUMMYFUNCTION("IMPORTRANGE(""https://docs.google.com/spreadsheets/d/1QqKyyYR6Q21VydFLVH3TRQUabQu_ym0Zz7PgGX0-kHA/edit?usp=sharing"",""แผน!ET56"")"),1000)</f>
        <v>1000</v>
      </c>
      <c r="J378" s="270">
        <f ca="1">IFERROR(__xludf.DUMMYFUNCTION("IMPORTRANGE(""https://docs.google.com/spreadsheets/d/1XWAQStnk-4SwqDmLtmXYiTMKHgktTP8We1SCoS47DrQ/edit?usp=sharing"",""จัดที่ดิน!AI56"")"),1037.39)</f>
        <v>1037.3900000000001</v>
      </c>
      <c r="K378" s="497">
        <f t="shared" ca="1" si="164"/>
        <v>103.73900000000002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IFERROR(__xludf.DUMMYFUNCTION("IMPORTRANGE(""https://docs.google.com/spreadsheets/d/1QqKyyYR6Q21VydFLVH3TRQUabQu_ym0Zz7PgGX0-kHA/edit?usp=sharing"",""แผน!EU56"")"),220)</f>
        <v>220</v>
      </c>
      <c r="J379" s="270">
        <f ca="1">IFERROR(__xludf.DUMMYFUNCTION("IMPORTRANGE(""https://docs.google.com/spreadsheets/d/1XWAQStnk-4SwqDmLtmXYiTMKHgktTP8We1SCoS47DrQ/edit?usp=sharing"",""จัดที่ดิน!AJ56"")"),299)</f>
        <v>299</v>
      </c>
      <c r="K379" s="497">
        <f t="shared" ca="1" si="164"/>
        <v>135.90909090909091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IFERROR(__xludf.DUMMYFUNCTION("IMPORTRANGE(""https://docs.google.com/spreadsheets/d/1XWAQStnk-4SwqDmLtmXYiTMKHgktTP8We1SCoS47DrQ/edit?usp=sharing"",""จัดที่ดิน!AK56"")"),3919.82)</f>
        <v>3919.82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IFERROR(__xludf.DUMMYFUNCTION("IMPORTRANGE(""https://docs.google.com/spreadsheets/d/1QqKyyYR6Q21VydFLVH3TRQUabQu_ym0Zz7PgGX0-kHA/edit?usp=sharing"",""แผน!EU56"")"),220)</f>
        <v>220</v>
      </c>
      <c r="J381" s="270">
        <f ca="1">IFERROR(__xludf.DUMMYFUNCTION("IMPORTRANGE(""https://docs.google.com/spreadsheets/d/1XWAQStnk-4SwqDmLtmXYiTMKHgktTP8We1SCoS47DrQ/edit?usp=sharing"",""จัดที่ดิน!AL56"")"),294)</f>
        <v>294</v>
      </c>
      <c r="K381" s="497">
        <f t="shared" ca="1" si="164"/>
        <v>133.63636363636363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IFERROR(__xludf.DUMMYFUNCTION("IMPORTRANGE(""https://docs.google.com/spreadsheets/d/1XWAQStnk-4SwqDmLtmXYiTMKHgktTP8We1SCoS47DrQ/edit?usp=sharing"",""จัดที่ดิน!AM56"")"),3913.88)</f>
        <v>3913.88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IFERROR(__xludf.DUMMYFUNCTION("IMPORTRANGE(""https://docs.google.com/spreadsheets/d/1QqKyyYR6Q21VydFLVH3TRQUabQu_ym0Zz7PgGX0-kHA/edit?usp=sharing"",""แผน!EW56"")"),60)</f>
        <v>60</v>
      </c>
      <c r="J385" s="501">
        <f ca="1">IFERROR(__xludf.DUMMYFUNCTION("IMPORTRANGE(""https://docs.google.com/spreadsheets/d/1XWAQStnk-4SwqDmLtmXYiTMKHgktTP8We1SCoS47DrQ/edit?usp=sharing"",""จัดที่ดิน!AP56"")"),16)</f>
        <v>16</v>
      </c>
      <c r="K385" s="502">
        <f ca="1">IF(I385&gt;0,J385*100/I385,0)</f>
        <v>26.666666666666668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IFERROR(__xludf.DUMMYFUNCTION("IMPORTRANGE(""https://docs.google.com/spreadsheets/d/1MeEWN-I1oV_STSDYn1IFDPWt_1FKiwhDph83XaGc0o0/edit?usp=sharing"",""งบพรบ!FG56"")"),0)</f>
        <v>0</v>
      </c>
      <c r="M394" s="93">
        <f ca="1">IFERROR(__xludf.DUMMYFUNCTION("IMPORTRANGE(""https://docs.google.com/spreadsheets/d/1MeEWN-I1oV_STSDYn1IFDPWt_1FKiwhDph83XaGc0o0/edit?usp=sharing"",""งบพรบ!FL56"")"),0)</f>
        <v>0</v>
      </c>
      <c r="N394" s="93">
        <f ca="1">IFERROR(__xludf.DUMMYFUNCTION("IMPORTRANGE(""https://docs.google.com/spreadsheets/d/1MeEWN-I1oV_STSDYn1IFDPWt_1FKiwhDph83XaGc0o0/edit?usp=sharing"",""งบพรบ!FN56"")"),0)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IFERROR(__xludf.DUMMYFUNCTION("IMPORTRANGE(""https://docs.google.com/spreadsheets/d/1MeEWN-I1oV_STSDYn1IFDPWt_1FKiwhDph83XaGc0o0/edit?usp=sharing"",""งบพรบ!FJ56"")"),0)</f>
        <v>0</v>
      </c>
      <c r="M397" s="93">
        <f ca="1">IFERROR(__xludf.DUMMYFUNCTION("IMPORTRANGE(""https://docs.google.com/spreadsheets/d/1MeEWN-I1oV_STSDYn1IFDPWt_1FKiwhDph83XaGc0o0/edit?usp=sharing"",""งบพรบ!FM56"")"),0)</f>
        <v>0</v>
      </c>
      <c r="N397" s="93">
        <f ca="1">IFERROR(__xludf.DUMMYFUNCTION("IMPORTRANGE(""https://docs.google.com/spreadsheets/d/1MeEWN-I1oV_STSDYn1IFDPWt_1FKiwhDph83XaGc0o0/edit?usp=sharing"",""งบพรบ!FO56"")"),0)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IFERROR(__xludf.DUMMYFUNCTION("IMPORTRANGE(""https://docs.google.com/spreadsheets/d/1MeEWN-I1oV_STSDYn1IFDPWt_1FKiwhDph83XaGc0o0/edit?usp=sharing"",""งบพรบ!FQ56"")"),0)</f>
        <v>0</v>
      </c>
      <c r="M407" s="93">
        <f ca="1">IFERROR(__xludf.DUMMYFUNCTION("IMPORTRANGE(""https://docs.google.com/spreadsheets/d/1MeEWN-I1oV_STSDYn1IFDPWt_1FKiwhDph83XaGc0o0/edit?usp=sharing"",""งบพรบ!FV56"")"),0)</f>
        <v>0</v>
      </c>
      <c r="N407" s="93">
        <f ca="1">IFERROR(__xludf.DUMMYFUNCTION("IMPORTRANGE(""https://docs.google.com/spreadsheets/d/1MeEWN-I1oV_STSDYn1IFDPWt_1FKiwhDph83XaGc0o0/edit?usp=sharing"",""งบพรบ!FX56"")"),0)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IFERROR(__xludf.DUMMYFUNCTION("IMPORTRANGE(""https://docs.google.com/spreadsheets/d/1MeEWN-I1oV_STSDYn1IFDPWt_1FKiwhDph83XaGc0o0/edit?usp=sharing"",""งบพรบ!FT56"")"),0)</f>
        <v>0</v>
      </c>
      <c r="M410" s="93">
        <f ca="1">IFERROR(__xludf.DUMMYFUNCTION("IMPORTRANGE(""https://docs.google.com/spreadsheets/d/1MeEWN-I1oV_STSDYn1IFDPWt_1FKiwhDph83XaGc0o0/edit?usp=sharing"",""งบพรบ!FW56"")"),0)</f>
        <v>0</v>
      </c>
      <c r="N410" s="93">
        <f ca="1">IFERROR(__xludf.DUMMYFUNCTION("IMPORTRANGE(""https://docs.google.com/spreadsheets/d/1MeEWN-I1oV_STSDYn1IFDPWt_1FKiwhDph83XaGc0o0/edit?usp=sharing"",""งบพรบ!FY56"")"),0)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1384298</v>
      </c>
      <c r="M414" s="549">
        <f t="shared" ca="1" si="181"/>
        <v>1379458</v>
      </c>
      <c r="N414" s="549">
        <f t="shared" si="181"/>
        <v>1158346.3500000001</v>
      </c>
      <c r="O414" s="549">
        <f ca="1">IF(L414&gt;0,N414*100/L414,0)</f>
        <v>83.677528248975307</v>
      </c>
      <c r="P414" s="549">
        <f ca="1">IF(M414&gt;0,N414*100/M414,0)</f>
        <v>83.97112126646843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95460</v>
      </c>
      <c r="M419" s="155">
        <f t="shared" ca="1" si="184"/>
        <v>90620</v>
      </c>
      <c r="N419" s="155">
        <f t="shared" si="184"/>
        <v>52849</v>
      </c>
      <c r="O419" s="155">
        <f t="shared" ref="O419:O424" ca="1" si="185">IF(L419&gt;0,N419*100/L419,0)</f>
        <v>55.362455478734546</v>
      </c>
      <c r="P419" s="155">
        <f t="shared" ref="P419:P424" ca="1" si="186">IF(M419&gt;0,N419*100/M419,0)</f>
        <v>58.319355550651068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95460</v>
      </c>
      <c r="M421" s="93">
        <f t="shared" ca="1" si="187"/>
        <v>90620</v>
      </c>
      <c r="N421" s="93">
        <f t="shared" si="187"/>
        <v>52849</v>
      </c>
      <c r="O421" s="93">
        <f t="shared" ca="1" si="185"/>
        <v>55.362455478734546</v>
      </c>
      <c r="P421" s="93">
        <f t="shared" ca="1" si="186"/>
        <v>58.319355550651068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95460</v>
      </c>
      <c r="M422" s="497">
        <f t="shared" ca="1" si="188"/>
        <v>90620</v>
      </c>
      <c r="N422" s="497">
        <f t="shared" si="188"/>
        <v>52849</v>
      </c>
      <c r="O422" s="497">
        <f t="shared" ca="1" si="185"/>
        <v>55.362455478734546</v>
      </c>
      <c r="P422" s="497">
        <f t="shared" ca="1" si="186"/>
        <v>58.319355550651068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IFERROR(__xludf.DUMMYFUNCTION("IMPORTRANGE(""https://docs.google.com/spreadsheets/d/1QqKyyYR6Q21VydFLVH3TRQUabQu_ym0Zz7PgGX0-kHA/edit?usp=sharing"",""แผน!EY56"")"),95460)</f>
        <v>95460</v>
      </c>
      <c r="M424" s="93">
        <f ca="1">L424-4840</f>
        <v>90620</v>
      </c>
      <c r="N424" s="93">
        <f>N425+N426+N427+N428</f>
        <v>52849</v>
      </c>
      <c r="O424" s="93">
        <f t="shared" ca="1" si="185"/>
        <v>55.362455478734546</v>
      </c>
      <c r="P424" s="93">
        <f t="shared" ca="1" si="186"/>
        <v>58.319355550651068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40889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11960</f>
        <v>11960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IFERROR(__xludf.DUMMYFUNCTION("IMPORTRANGE(""https://docs.google.com/spreadsheets/d/1QqKyyYR6Q21VydFLVH3TRQUabQu_ym0Zz7PgGX0-kHA/edit?usp=sharing"",""แผน!FC56"")"),20)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IFERROR(__xludf.DUMMYFUNCTION("IMPORTRANGE(""https://docs.google.com/spreadsheets/d/1QqKyyYR6Q21VydFLVH3TRQUabQu_ym0Zz7PgGX0-kHA/edit?usp=sharing"",""แผน!FF56"")"),20)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15</v>
      </c>
      <c r="J442" s="585">
        <f t="shared" si="195"/>
        <v>15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15</v>
      </c>
      <c r="J443" s="565">
        <f t="shared" si="196"/>
        <v>15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68160</v>
      </c>
      <c r="M444" s="195">
        <f t="shared" ca="1" si="197"/>
        <v>68160</v>
      </c>
      <c r="N444" s="195">
        <f t="shared" si="197"/>
        <v>48855</v>
      </c>
      <c r="O444" s="195">
        <f t="shared" ref="O444:O449" ca="1" si="198">IF(L444&gt;0,N444*100/L444,0)</f>
        <v>71.676936619718305</v>
      </c>
      <c r="P444" s="195">
        <f t="shared" ref="P444:P449" ca="1" si="199">IF(M444&gt;0,N444*100/M444,0)</f>
        <v>71.676936619718305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68160</v>
      </c>
      <c r="M446" s="93">
        <f t="shared" ca="1" si="200"/>
        <v>68160</v>
      </c>
      <c r="N446" s="93">
        <f t="shared" si="200"/>
        <v>48855</v>
      </c>
      <c r="O446" s="93">
        <f t="shared" ca="1" si="198"/>
        <v>71.676936619718305</v>
      </c>
      <c r="P446" s="93">
        <f t="shared" ca="1" si="199"/>
        <v>71.676936619718305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68160</v>
      </c>
      <c r="M447" s="497">
        <f t="shared" ca="1" si="201"/>
        <v>68160</v>
      </c>
      <c r="N447" s="497">
        <f t="shared" si="201"/>
        <v>48855</v>
      </c>
      <c r="O447" s="497">
        <f t="shared" ca="1" si="198"/>
        <v>71.676936619718305</v>
      </c>
      <c r="P447" s="497">
        <f t="shared" ca="1" si="199"/>
        <v>71.676936619718305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IFERROR(__xludf.DUMMYFUNCTION("IMPORTRANGE(""https://docs.google.com/spreadsheets/d/1QqKyyYR6Q21VydFLVH3TRQUabQu_ym0Zz7PgGX0-kHA/edit?usp=sharing"",""แผน!FJ56"")"),68160)</f>
        <v>68160</v>
      </c>
      <c r="M449" s="93">
        <f ca="1">L449</f>
        <v>68160</v>
      </c>
      <c r="N449" s="93">
        <f>N450+N451+N452+N453</f>
        <v>48855</v>
      </c>
      <c r="O449" s="93">
        <f t="shared" ca="1" si="198"/>
        <v>71.676936619718305</v>
      </c>
      <c r="P449" s="93">
        <f t="shared" ca="1" si="199"/>
        <v>71.676936619718305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21740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675+3600+1210+3700+990-60</f>
        <v>10115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IFERROR(__xludf.DUMMYFUNCTION("IMPORTRANGE(""https://docs.google.com/spreadsheets/d/1QqKyyYR6Q21VydFLVH3TRQUabQu_ym0Zz7PgGX0-kHA/edit?usp=sharing"",""แผน!FO56"")"),15)</f>
        <v>15</v>
      </c>
      <c r="J462" s="215">
        <v>15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IFERROR(__xludf.DUMMYFUNCTION("IMPORTRANGE(""https://docs.google.com/spreadsheets/d/1QqKyyYR6Q21VydFLVH3TRQUabQu_ym0Zz7PgGX0-kHA/edit?usp=sharing"",""แผน!FO56"")"),15)</f>
        <v>15</v>
      </c>
      <c r="J463" s="215">
        <v>15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IFERROR(__xludf.DUMMYFUNCTION("IMPORTRANGE(""https://docs.google.com/spreadsheets/d/1QqKyyYR6Q21VydFLVH3TRQUabQu_ym0Zz7PgGX0-kHA/edit?usp=sharing"",""แผน!FN56"")"),15)</f>
        <v>15</v>
      </c>
      <c r="J464" s="215">
        <v>15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IFERROR(__xludf.DUMMYFUNCTION("IMPORTRANGE(""https://docs.google.com/spreadsheets/d/1QqKyyYR6Q21VydFLVH3TRQUabQu_ym0Zz7PgGX0-kHA/edit?usp=sharing"",""แผน!FX56"")"),41)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IFERROR(__xludf.DUMMYFUNCTION("IMPORTRANGE(""https://docs.google.com/spreadsheets/d/1QqKyyYR6Q21VydFLVH3TRQUabQu_ym0Zz7PgGX0-kHA/edit?usp=sharing"",""แผน!FW56"")"),400)</f>
        <v>400</v>
      </c>
      <c r="J466" s="565">
        <f>J495+J498</f>
        <v>400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332943</v>
      </c>
      <c r="M467" s="195">
        <f t="shared" ca="1" si="206"/>
        <v>332943</v>
      </c>
      <c r="N467" s="195">
        <f t="shared" si="206"/>
        <v>302247</v>
      </c>
      <c r="O467" s="195">
        <f t="shared" ref="O467:O472" ca="1" si="207">IF(L467&gt;0,N467*100/L467,0)</f>
        <v>90.780403852911761</v>
      </c>
      <c r="P467" s="195">
        <f t="shared" ref="P467:P472" ca="1" si="208">IF(M467&gt;0,N467*100/M467,0)</f>
        <v>90.780403852911761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332943</v>
      </c>
      <c r="M469" s="93">
        <f t="shared" ca="1" si="209"/>
        <v>332943</v>
      </c>
      <c r="N469" s="93">
        <f t="shared" si="209"/>
        <v>302247</v>
      </c>
      <c r="O469" s="93">
        <f t="shared" ca="1" si="207"/>
        <v>90.780403852911761</v>
      </c>
      <c r="P469" s="93">
        <f t="shared" ca="1" si="208"/>
        <v>90.780403852911761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332943</v>
      </c>
      <c r="M470" s="497">
        <f t="shared" ca="1" si="210"/>
        <v>332943</v>
      </c>
      <c r="N470" s="497">
        <f t="shared" si="210"/>
        <v>302247</v>
      </c>
      <c r="O470" s="497">
        <f t="shared" ca="1" si="207"/>
        <v>90.780403852911761</v>
      </c>
      <c r="P470" s="497">
        <f t="shared" ca="1" si="208"/>
        <v>90.780403852911761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IFERROR(__xludf.DUMMYFUNCTION("IMPORTRANGE(""https://docs.google.com/spreadsheets/d/1QqKyyYR6Q21VydFLVH3TRQUabQu_ym0Zz7PgGX0-kHA/edit?usp=sharing"",""แผน!FS56"")"),332943)</f>
        <v>332943</v>
      </c>
      <c r="M472" s="93">
        <f ca="1">L472</f>
        <v>332943</v>
      </c>
      <c r="N472" s="93">
        <f>N473+N474+N475+N476</f>
        <v>302247</v>
      </c>
      <c r="O472" s="93">
        <f t="shared" ca="1" si="207"/>
        <v>90.780403852911761</v>
      </c>
      <c r="P472" s="93">
        <f t="shared" ca="1" si="208"/>
        <v>90.780403852911761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32116+6516+1875+5115</f>
        <v>45622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f>15600+16000+205700+4000</f>
        <v>241300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5080+6325+740+1980+1200</f>
        <v>15325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IFERROR(__xludf.DUMMYFUNCTION("IMPORTRANGE(""https://docs.google.com/spreadsheets/d/1QqKyyYR6Q21VydFLVH3TRQUabQu_ym0Zz7PgGX0-kHA/edit?usp=sharing"",""แผน!FY56"")"),360)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IFERROR(__xludf.DUMMYFUNCTION("IMPORTRANGE(""https://docs.google.com/spreadsheets/d/1QqKyyYR6Q21VydFLVH3TRQUabQu_ym0Zz7PgGX0-kHA/edit?usp=sharing"",""แผน!FZ56"")"),36)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IFERROR(__xludf.DUMMYFUNCTION("IMPORTRANGE(""https://docs.google.com/spreadsheets/d/1QqKyyYR6Q21VydFLVH3TRQUabQu_ym0Zz7PgGX0-kHA/edit?usp=sharing"",""แผน!GA56"")"),40)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IFERROR(__xludf.DUMMYFUNCTION("IMPORTRANGE(""https://docs.google.com/spreadsheets/d/1QqKyyYR6Q21VydFLVH3TRQUabQu_ym0Zz7PgGX0-kHA/edit?usp=sharing"",""แผน!GB56"")"),4)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IFERROR(__xludf.DUMMYFUNCTION("IMPORTRANGE(""https://docs.google.com/spreadsheets/d/1QqKyyYR6Q21VydFLVH3TRQUabQu_ym0Zz7PgGX0-kHA/edit?usp=sharing"",""แผน!FY56"")"),360)</f>
        <v>360</v>
      </c>
      <c r="J495" s="215">
        <v>360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IFERROR(__xludf.DUMMYFUNCTION("IMPORTRANGE(""https://docs.google.com/spreadsheets/d/1QqKyyYR6Q21VydFLVH3TRQUabQu_ym0Zz7PgGX0-kHA/edit?usp=sharing"",""แผน!GA56"")"),40)</f>
        <v>40</v>
      </c>
      <c r="J498" s="215">
        <v>40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423680</v>
      </c>
      <c r="O523" s="195">
        <f t="shared" ref="O523:O528" ca="1" si="227">IF(L523&gt;0,N523*100/L523,0)</f>
        <v>99.115706732793711</v>
      </c>
      <c r="P523" s="195">
        <f t="shared" ref="P523:P528" ca="1" si="228">IF(M523&gt;0,N523*100/M523,0)</f>
        <v>99.115706732793711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423680</v>
      </c>
      <c r="O525" s="93">
        <f t="shared" ca="1" si="227"/>
        <v>99.115706732793711</v>
      </c>
      <c r="P525" s="93">
        <f t="shared" ca="1" si="228"/>
        <v>99.115706732793711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423680</v>
      </c>
      <c r="O526" s="497">
        <f t="shared" ca="1" si="227"/>
        <v>99.115706732793711</v>
      </c>
      <c r="P526" s="497">
        <f t="shared" ca="1" si="228"/>
        <v>99.115706732793711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IFERROR(__xludf.DUMMYFUNCTION("IMPORTRANGE(""https://docs.google.com/spreadsheets/d/1QqKyyYR6Q21VydFLVH3TRQUabQu_ym0Zz7PgGX0-kHA/edit?usp=sharing"",""แผน!GQ56"")"),427460)</f>
        <v>427460</v>
      </c>
      <c r="M528" s="93">
        <f ca="1">L528</f>
        <v>427460</v>
      </c>
      <c r="N528" s="93">
        <f>N529+N530+N531+N532</f>
        <v>423680</v>
      </c>
      <c r="O528" s="93">
        <f t="shared" ca="1" si="227"/>
        <v>99.115706732793711</v>
      </c>
      <c r="P528" s="93">
        <f t="shared" ca="1" si="228"/>
        <v>99.115706732793711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149565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f>8300+3460+12355</f>
        <v>24115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IFERROR(__xludf.DUMMYFUNCTION("IMPORTRANGE(""https://docs.google.com/spreadsheets/d/1QqKyyYR6Q21VydFLVH3TRQUabQu_ym0Zz7PgGX0-kHA/edit?usp=sharing"",""แผน!GU56"")"),50)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289100</v>
      </c>
      <c r="M544" s="155">
        <f t="shared" ca="1" si="236"/>
        <v>289100</v>
      </c>
      <c r="N544" s="155">
        <f t="shared" si="236"/>
        <v>235273.35</v>
      </c>
      <c r="O544" s="155">
        <f t="shared" ref="O544:O549" ca="1" si="237">IF(L544&gt;0,N544*100/L544,0)</f>
        <v>81.381304047042548</v>
      </c>
      <c r="P544" s="155">
        <f t="shared" ref="P544:P549" ca="1" si="238">IF(M544&gt;0,N544*100/M544,0)</f>
        <v>81.381304047042548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289100</v>
      </c>
      <c r="M546" s="93">
        <f t="shared" ca="1" si="240"/>
        <v>289100</v>
      </c>
      <c r="N546" s="93">
        <f t="shared" si="240"/>
        <v>235273.35</v>
      </c>
      <c r="O546" s="93">
        <f t="shared" ca="1" si="237"/>
        <v>81.381304047042548</v>
      </c>
      <c r="P546" s="93">
        <f t="shared" ca="1" si="238"/>
        <v>81.381304047042548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289100</v>
      </c>
      <c r="M547" s="497">
        <f t="shared" ca="1" si="241"/>
        <v>289100</v>
      </c>
      <c r="N547" s="497">
        <f t="shared" si="241"/>
        <v>235273.35</v>
      </c>
      <c r="O547" s="497">
        <f t="shared" ca="1" si="237"/>
        <v>81.381304047042548</v>
      </c>
      <c r="P547" s="497">
        <f t="shared" ca="1" si="238"/>
        <v>81.381304047042548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IFERROR(__xludf.DUMMYFUNCTION("IMPORTRANGE(""https://docs.google.com/spreadsheets/d/1QqKyyYR6Q21VydFLVH3TRQUabQu_ym0Zz7PgGX0-kHA/edit?usp=sharing"",""แผน!HB56"")"),289100)</f>
        <v>289100</v>
      </c>
      <c r="M549" s="93">
        <f ca="1">L549</f>
        <v>289100</v>
      </c>
      <c r="N549" s="93">
        <f>N550+N551+N552+N553+N554</f>
        <v>235273.35</v>
      </c>
      <c r="O549" s="93">
        <f t="shared" ca="1" si="237"/>
        <v>81.381304047042548</v>
      </c>
      <c r="P549" s="93">
        <f t="shared" ca="1" si="238"/>
        <v>81.381304047042548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74969+13000-433+13000</f>
        <v>100536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54421.35+1720+18750+20000+15000+11760+2546-5360+15900</f>
        <v>134737.35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4079.62</v>
      </c>
      <c r="J592" s="703">
        <f t="shared" si="253"/>
        <v>4071.18</v>
      </c>
      <c r="K592" s="672">
        <f t="shared" ref="K592:K594" ca="1" si="254">IF(I592&gt;0,J592*100/I592,0)</f>
        <v>99.793117986479132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IFERROR(__xludf.DUMMYFUNCTION("IMPORTRANGE(""https://docs.google.com/spreadsheets/d/1QqKyyYR6Q21VydFLVH3TRQUabQu_ym0Zz7PgGX0-kHA/edit?usp=sharing"",""แผน!HJ56"")"),4079.62)</f>
        <v>4079.62</v>
      </c>
      <c r="J593" s="193">
        <f t="shared" ref="J593:J594" si="255">J595+J603+J609</f>
        <v>4071.18</v>
      </c>
      <c r="K593" s="411">
        <f t="shared" ca="1" si="254"/>
        <v>99.793117986479132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IFERROR(__xludf.DUMMYFUNCTION("IMPORTRANGE(""https://docs.google.com/spreadsheets/d/1QqKyyYR6Q21VydFLVH3TRQUabQu_ym0Zz7PgGX0-kHA/edit?usp=sharing"",""แผน!HI56"")"),257)</f>
        <v>257</v>
      </c>
      <c r="J594" s="193">
        <f t="shared" si="255"/>
        <v>256</v>
      </c>
      <c r="K594" s="411">
        <f t="shared" ca="1" si="254"/>
        <v>99.610894941634243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3390.18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206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3390.18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206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671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48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671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48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10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2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50</v>
      </c>
      <c r="J628" s="736">
        <f t="shared" ca="1" si="262"/>
        <v>37</v>
      </c>
      <c r="K628" s="737">
        <f ca="1">IF(I628&gt;0,J628*100/I628,0)</f>
        <v>74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171175</v>
      </c>
      <c r="M629" s="195">
        <f t="shared" ca="1" si="263"/>
        <v>171175</v>
      </c>
      <c r="N629" s="195">
        <f t="shared" si="263"/>
        <v>95442</v>
      </c>
      <c r="O629" s="195">
        <f t="shared" ref="O629:O634" ca="1" si="264">IF(L629&gt;0,N629*100/L629,0)</f>
        <v>55.756973857163722</v>
      </c>
      <c r="P629" s="195">
        <f t="shared" ref="P629:P634" ca="1" si="265">IF(M629&gt;0,N629*100/M629,0)</f>
        <v>55.756973857163722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171175</v>
      </c>
      <c r="M631" s="93">
        <f t="shared" ca="1" si="266"/>
        <v>171175</v>
      </c>
      <c r="N631" s="93">
        <f t="shared" si="266"/>
        <v>95442</v>
      </c>
      <c r="O631" s="93">
        <f t="shared" ca="1" si="264"/>
        <v>55.756973857163722</v>
      </c>
      <c r="P631" s="93">
        <f t="shared" ca="1" si="265"/>
        <v>55.756973857163722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171175</v>
      </c>
      <c r="M632" s="497">
        <f t="shared" ca="1" si="267"/>
        <v>171175</v>
      </c>
      <c r="N632" s="497">
        <f t="shared" si="267"/>
        <v>95442</v>
      </c>
      <c r="O632" s="497">
        <f t="shared" ca="1" si="264"/>
        <v>55.756973857163722</v>
      </c>
      <c r="P632" s="497">
        <f t="shared" ca="1" si="265"/>
        <v>55.756973857163722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IFERROR(__xludf.DUMMYFUNCTION("IMPORTRANGE(""https://docs.google.com/spreadsheets/d/1QqKyyYR6Q21VydFLVH3TRQUabQu_ym0Zz7PgGX0-kHA/edit?usp=sharing"",""แผน!HN56"")"),171175)</f>
        <v>171175</v>
      </c>
      <c r="M634" s="93">
        <f ca="1">L634</f>
        <v>171175</v>
      </c>
      <c r="N634" s="93">
        <f>N635+N636+N637+N638</f>
        <v>95442</v>
      </c>
      <c r="O634" s="93">
        <f t="shared" ca="1" si="264"/>
        <v>55.756973857163722</v>
      </c>
      <c r="P634" s="93">
        <f t="shared" ca="1" si="265"/>
        <v>55.756973857163722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65840+12312+8760+8530</f>
        <v>95442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IFERROR(__xludf.DUMMYFUNCTION("IMPORTRANGE(""https://docs.google.com/spreadsheets/d/1XWAQStnk-4SwqDmLtmXYiTMKHgktTP8We1SCoS47DrQ/edit?usp=sharing"",""จัดที่ดิน!AS56"")"),76)</f>
        <v>76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IFERROR(__xludf.DUMMYFUNCTION("IMPORTRANGE(""https://docs.google.com/spreadsheets/d/1XWAQStnk-4SwqDmLtmXYiTMKHgktTP8We1SCoS47DrQ/edit?usp=sharing"",""จัดที่ดิน!AT56"")"),41.77)</f>
        <v>41.77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IFERROR(__xludf.DUMMYFUNCTION("IMPORTRANGE(""https://docs.google.com/spreadsheets/d/1QqKyyYR6Q21VydFLVH3TRQUabQu_ym0Zz7PgGX0-kHA/edit?usp=sharing"",""แผน!HS56"")"),50)</f>
        <v>50</v>
      </c>
      <c r="J647" s="270">
        <f ca="1">IFERROR(__xludf.DUMMYFUNCTION("IMPORTRANGE(""https://docs.google.com/spreadsheets/d/1XWAQStnk-4SwqDmLtmXYiTMKHgktTP8We1SCoS47DrQ/edit?usp=sharing"",""จัดที่ดิน!AU56"")"),52)</f>
        <v>52</v>
      </c>
      <c r="K647" s="163">
        <f t="shared" ca="1" si="271"/>
        <v>104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IFERROR(__xludf.DUMMYFUNCTION("IMPORTRANGE(""https://docs.google.com/spreadsheets/d/1XWAQStnk-4SwqDmLtmXYiTMKHgktTP8We1SCoS47DrQ/edit?usp=sharing"",""จัดที่ดิน!AV56"")"),44.95)</f>
        <v>44.95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IFERROR(__xludf.DUMMYFUNCTION("IMPORTRANGE(""https://docs.google.com/spreadsheets/d/1QqKyyYR6Q21VydFLVH3TRQUabQu_ym0Zz7PgGX0-kHA/edit?usp=sharing"",""แผน!HS56"")"),50)</f>
        <v>50</v>
      </c>
      <c r="J649" s="270">
        <f ca="1">IFERROR(__xludf.DUMMYFUNCTION("IMPORTRANGE(""https://docs.google.com/spreadsheets/d/1XWAQStnk-4SwqDmLtmXYiTMKHgktTP8We1SCoS47DrQ/edit?usp=sharing"",""จัดที่ดิน!AW56"")"),43)</f>
        <v>43</v>
      </c>
      <c r="K649" s="163">
        <f t="shared" ca="1" si="271"/>
        <v>86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IFERROR(__xludf.DUMMYFUNCTION("IMPORTRANGE(""https://docs.google.com/spreadsheets/d/1XWAQStnk-4SwqDmLtmXYiTMKHgktTP8We1SCoS47DrQ/edit?usp=sharing"",""จัดที่ดิน!AX56"")"),32.58)</f>
        <v>32.58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IFERROR(__xludf.DUMMYFUNCTION("IMPORTRANGE(""https://docs.google.com/spreadsheets/d/1QqKyyYR6Q21VydFLVH3TRQUabQu_ym0Zz7PgGX0-kHA/edit?usp=sharing"",""แผน!HS56"")"),50)</f>
        <v>50</v>
      </c>
      <c r="J651" s="270">
        <f ca="1">IFERROR(__xludf.DUMMYFUNCTION("IMPORTRANGE(""https://docs.google.com/spreadsheets/d/1XWAQStnk-4SwqDmLtmXYiTMKHgktTP8We1SCoS47DrQ/edit?usp=sharing"",""จัดที่ดิน!AY56"")"),37)</f>
        <v>37</v>
      </c>
      <c r="K651" s="163">
        <f t="shared" ca="1" si="271"/>
        <v>74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IFERROR(__xludf.DUMMYFUNCTION("IMPORTRANGE(""https://docs.google.com/spreadsheets/d/1XWAQStnk-4SwqDmLtmXYiTMKHgktTP8We1SCoS47DrQ/edit?usp=sharing"",""จัดที่ดิน!AZ56"")"),30)</f>
        <v>30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IFERROR(__xludf.DUMMYFUNCTION("IMPORTRANGE(""https://docs.google.com/spreadsheets/d/1QqKyyYR6Q21VydFLVH3TRQUabQu_ym0Zz7PgGX0-kHA/edit?usp=sharing"",""แผน!IC56"")"),0)</f>
        <v>0</v>
      </c>
      <c r="J699" s="270">
        <f ca="1">IFERROR(__xludf.DUMMYFUNCTION("IMPORTRANGE(""https://docs.google.com/spreadsheets/d/1XWAQStnk-4SwqDmLtmXYiTMKHgktTP8We1SCoS47DrQ/edit?usp=sharing"",""จัดที่ดิน!BB56"")"),0)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IFERROR(__xludf.DUMMYFUNCTION("IMPORTRANGE(""https://docs.google.com/spreadsheets/d/1QqKyyYR6Q21VydFLVH3TRQUabQu_ym0Zz7PgGX0-kHA/edit?usp=sharing"",""แผน!ID56"")"),0)</f>
        <v>0</v>
      </c>
      <c r="J700" s="270">
        <f ca="1">IFERROR(__xludf.DUMMYFUNCTION("IMPORTRANGE(""https://docs.google.com/spreadsheets/d/1XWAQStnk-4SwqDmLtmXYiTMKHgktTP8We1SCoS47DrQ/edit?usp=sharing"",""จัดที่ดิน!BD56"")"),0)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IFERROR(__xludf.DUMMYFUNCTION("IMPORTRANGE(""https://docs.google.com/spreadsheets/d/1QqKyyYR6Q21VydFLVH3TRQUabQu_ym0Zz7PgGX0-kHA/edit?usp=sharing"",""แผน!II56"")"),0)</f>
        <v>0</v>
      </c>
      <c r="J720" s="270">
        <f ca="1">IFERROR(__xludf.DUMMYFUNCTION("IMPORTRANGE(""https://docs.google.com/spreadsheets/d/1XWAQStnk-4SwqDmLtmXYiTMKHgktTP8We1SCoS47DrQ/edit?usp=sharing"",""จัดที่ดิน!BH56"")"),0)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IFERROR(__xludf.DUMMYFUNCTION("IMPORTRANGE(""https://docs.google.com/spreadsheets/d/1QqKyyYR6Q21VydFLVH3TRQUabQu_ym0Zz7PgGX0-kHA/edit?usp=sharing"",""แผน!IL56"")"),0)</f>
        <v>0</v>
      </c>
      <c r="J723" s="270">
        <f ca="1">IFERROR(__xludf.DUMMYFUNCTION("IMPORTRANGE(""https://docs.google.com/spreadsheets/d/1XWAQStnk-4SwqDmLtmXYiTMKHgktTP8We1SCoS47DrQ/edit?usp=sharing"",""จัดที่ดิน!BM56"")"),0)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IFERROR(__xludf.DUMMYFUNCTION("IMPORTRANGE(""https://docs.google.com/spreadsheets/d/1QqKyyYR6Q21VydFLVH3TRQUabQu_ym0Zz7PgGX0-kHA/edit?usp=sharing"",""แผน!IM56"")"),0)</f>
        <v>0</v>
      </c>
      <c r="J725" s="270">
        <f ca="1">IFERROR(__xludf.DUMMYFUNCTION("IMPORTRANGE(""https://docs.google.com/spreadsheets/d/1XWAQStnk-4SwqDmLtmXYiTMKHgktTP8We1SCoS47DrQ/edit?usp=sharing"",""จัดที่ดิน!BO56"")"),0)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IFERROR(__xludf.DUMMYFUNCTION("IMPORTRANGE(""https://docs.google.com/spreadsheets/d/1QqKyyYR6Q21VydFLVH3TRQUabQu_ym0Zz7PgGX0-kHA/edit?usp=sharing"",""แผน!IN56"")"),0)</f>
        <v>0</v>
      </c>
      <c r="J726" s="270">
        <f ca="1">IFERROR(__xludf.DUMMYFUNCTION("IMPORTRANGE(""https://docs.google.com/spreadsheets/d/1XWAQStnk-4SwqDmLtmXYiTMKHgktTP8We1SCoS47DrQ/edit?usp=sharing"",""จัดที่ดิน!BR56"")"),0)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IFERROR(__xludf.DUMMYFUNCTION("IMPORTRANGE(""https://docs.google.com/spreadsheets/d/1QqKyyYR6Q21VydFLVH3TRQUabQu_ym0Zz7PgGX0-kHA/edit?usp=sharing"",""แผน!IO56"")"),0)</f>
        <v>0</v>
      </c>
      <c r="J728" s="270">
        <f ca="1">IFERROR(__xludf.DUMMYFUNCTION("IMPORTRANGE(""https://docs.google.com/spreadsheets/d/1XWAQStnk-4SwqDmLtmXYiTMKHgktTP8We1SCoS47DrQ/edit?usp=sharing"",""จัดที่ดิน!BT56"")"),0)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IFERROR(__xludf.DUMMYFUNCTION("IMPORTRANGE(""https://docs.google.com/spreadsheets/d/1QqKyyYR6Q21VydFLVH3TRQUabQu_ym0Zz7PgGX0-kHA/edit?usp=sharing"",""แผน!JN56"")"),0)</f>
        <v>0</v>
      </c>
      <c r="J800" s="184">
        <f ca="1">IFERROR(__xludf.DUMMYFUNCTION("IMPORTRANGE(""https://docs.google.com/spreadsheets/d/1MaWodYyGHDf7siQLGxnXhG4mBNTNIuy296niS2xXulU/edit?usp=sharing"",""RTK!H56"")"),0)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3"/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IFERROR(__xludf.DUMMYFUNCTION("IMPORTRANGE(""https://docs.google.com/spreadsheets/d/19vJNZY_5yjcGF2XGBMNZRCAIB0Kwfpjp8YEOfu-bneM/edit?usp=sharing"",""งานกองทุน!D56"")"),11570000)</f>
        <v>11570000</v>
      </c>
      <c r="J821" s="270">
        <f ca="1">IFERROR(__xludf.DUMMYFUNCTION("IMPORTRANGE(""https://docs.google.com/spreadsheets/d/19vJNZY_5yjcGF2XGBMNZRCAIB0Kwfpjp8YEOfu-bneM/edit?usp=sharing"",""งานกองทุน!F56"")"),6090000)</f>
        <v>6090000</v>
      </c>
      <c r="K821" s="497">
        <f t="shared" ref="K821:K828" ca="1" si="335">IF(I821&gt;0,J821*100/I821,0)</f>
        <v>52.636127917026791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IFERROR(__xludf.DUMMYFUNCTION("IMPORTRANGE(""https://docs.google.com/spreadsheets/d/19vJNZY_5yjcGF2XGBMNZRCAIB0Kwfpjp8YEOfu-bneM/edit?usp=sharing"",""งานกองทุน!C56"")"),237)</f>
        <v>237</v>
      </c>
      <c r="J822" s="270">
        <f ca="1">IFERROR(__xludf.DUMMYFUNCTION("IMPORTRANGE(""https://docs.google.com/spreadsheets/d/19vJNZY_5yjcGF2XGBMNZRCAIB0Kwfpjp8YEOfu-bneM/edit?usp=sharing"",""งานกองทุน!E56"")"),124)</f>
        <v>124</v>
      </c>
      <c r="K822" s="497">
        <f t="shared" ca="1" si="335"/>
        <v>52.320675105485229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IFERROR(__xludf.DUMMYFUNCTION("IMPORTRANGE(""https://docs.google.com/spreadsheets/d/19vJNZY_5yjcGF2XGBMNZRCAIB0Kwfpjp8YEOfu-bneM/edit?usp=sharing"",""งานกองทุน!I56"")"),0)</f>
        <v>0</v>
      </c>
      <c r="J823" s="270">
        <f ca="1">IFERROR(__xludf.DUMMYFUNCTION("IMPORTRANGE(""https://docs.google.com/spreadsheets/d/19vJNZY_5yjcGF2XGBMNZRCAIB0Kwfpjp8YEOfu-bneM/edit?usp=sharing"",""งานกองทุน!K56"")"),0)</f>
        <v>0</v>
      </c>
      <c r="K823" s="497">
        <f t="shared" ca="1" si="335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IFERROR(__xludf.DUMMYFUNCTION("IMPORTRANGE(""https://docs.google.com/spreadsheets/d/19vJNZY_5yjcGF2XGBMNZRCAIB0Kwfpjp8YEOfu-bneM/edit?usp=sharing"",""งานกองทุน!H56"")"),0)</f>
        <v>0</v>
      </c>
      <c r="J824" s="270">
        <f ca="1">IFERROR(__xludf.DUMMYFUNCTION("IMPORTRANGE(""https://docs.google.com/spreadsheets/d/19vJNZY_5yjcGF2XGBMNZRCAIB0Kwfpjp8YEOfu-bneM/edit?usp=sharing"",""งานกองทุน!J56"")"),0)</f>
        <v>0</v>
      </c>
      <c r="K824" s="497">
        <f t="shared" ca="1" si="335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IFERROR(__xludf.DUMMYFUNCTION("IMPORTRANGE(""https://docs.google.com/spreadsheets/d/19vJNZY_5yjcGF2XGBMNZRCAIB0Kwfpjp8YEOfu-bneM/edit?usp=sharing"",""งานกองทุน!N56"")"),0)</f>
        <v>0</v>
      </c>
      <c r="J825" s="270">
        <f ca="1">IFERROR(__xludf.DUMMYFUNCTION("IMPORTRANGE(""https://docs.google.com/spreadsheets/d/19vJNZY_5yjcGF2XGBMNZRCAIB0Kwfpjp8YEOfu-bneM/edit?usp=sharing"",""งานกองทุน!P56"")"),0)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IFERROR(__xludf.DUMMYFUNCTION("IMPORTRANGE(""https://docs.google.com/spreadsheets/d/19vJNZY_5yjcGF2XGBMNZRCAIB0Kwfpjp8YEOfu-bneM/edit?usp=sharing"",""งานกองทุน!M56"")"),0)</f>
        <v>0</v>
      </c>
      <c r="J826" s="270">
        <f ca="1">IFERROR(__xludf.DUMMYFUNCTION("IMPORTRANGE(""https://docs.google.com/spreadsheets/d/19vJNZY_5yjcGF2XGBMNZRCAIB0Kwfpjp8YEOfu-bneM/edit?usp=sharing"",""งานกองทุน!O56"")"),0)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IFERROR(__xludf.DUMMYFUNCTION("IMPORTRANGE(""https://docs.google.com/spreadsheets/d/19vJNZY_5yjcGF2XGBMNZRCAIB0Kwfpjp8YEOfu-bneM/edit?usp=sharing"",""งานกองทุน!S56"")"),10120000)</f>
        <v>10120000</v>
      </c>
      <c r="J827" s="270">
        <f ca="1">IFERROR(__xludf.DUMMYFUNCTION("IMPORTRANGE(""https://docs.google.com/spreadsheets/d/19vJNZY_5yjcGF2XGBMNZRCAIB0Kwfpjp8YEOfu-bneM/edit?usp=sharing"",""งานกองทุน!U56"")"),5790000)</f>
        <v>5790000</v>
      </c>
      <c r="K827" s="497">
        <f t="shared" ca="1" si="335"/>
        <v>57.213438735177867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IFERROR(__xludf.DUMMYFUNCTION("IMPORTRANGE(""https://docs.google.com/spreadsheets/d/19vJNZY_5yjcGF2XGBMNZRCAIB0Kwfpjp8YEOfu-bneM/edit?usp=sharing"",""งานกองทุน!R56"")"),249)</f>
        <v>249</v>
      </c>
      <c r="J828" s="501">
        <f ca="1">IFERROR(__xludf.DUMMYFUNCTION("IMPORTRANGE(""https://docs.google.com/spreadsheets/d/19vJNZY_5yjcGF2XGBMNZRCAIB0Kwfpjp8YEOfu-bneM/edit?usp=sharing"",""งานกองทุน!T56"")"),117)</f>
        <v>117</v>
      </c>
      <c r="K828" s="502">
        <f t="shared" ca="1" si="335"/>
        <v>46.987951807228917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96"/>
      <c r="E829" s="677"/>
      <c r="F829" s="677"/>
      <c r="G829" s="677"/>
      <c r="H829" s="897"/>
      <c r="I829" s="898"/>
      <c r="J829" s="898"/>
      <c r="K829" s="899"/>
      <c r="L829" s="899"/>
      <c r="M829" s="899"/>
      <c r="N829" s="899"/>
      <c r="O829" s="899"/>
      <c r="P829" s="899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96"/>
      <c r="E830" s="677"/>
      <c r="F830" s="677"/>
      <c r="G830" s="677"/>
      <c r="H830" s="897"/>
      <c r="I830" s="898"/>
      <c r="J830" s="898"/>
      <c r="K830" s="899"/>
      <c r="L830" s="899"/>
      <c r="M830" s="899"/>
      <c r="N830" s="899"/>
      <c r="O830" s="899"/>
      <c r="P830" s="899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96"/>
      <c r="E831" s="677"/>
      <c r="F831" s="677"/>
      <c r="G831" s="677"/>
      <c r="H831" s="897"/>
      <c r="I831" s="898"/>
      <c r="J831" s="898"/>
      <c r="K831" s="899"/>
      <c r="L831" s="899"/>
      <c r="M831" s="899"/>
      <c r="N831" s="899"/>
      <c r="O831" s="899"/>
      <c r="P831" s="899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96"/>
      <c r="E832" s="677"/>
      <c r="F832" s="677"/>
      <c r="G832" s="677"/>
      <c r="H832" s="897"/>
      <c r="I832" s="898"/>
      <c r="J832" s="898"/>
      <c r="K832" s="899"/>
      <c r="L832" s="899"/>
      <c r="M832" s="899"/>
      <c r="N832" s="899"/>
      <c r="O832" s="899"/>
      <c r="P832" s="899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96"/>
      <c r="E833" s="677"/>
      <c r="F833" s="677"/>
      <c r="G833" s="677"/>
      <c r="H833" s="897"/>
      <c r="I833" s="898"/>
      <c r="J833" s="898"/>
      <c r="K833" s="899"/>
      <c r="L833" s="899"/>
      <c r="M833" s="899"/>
      <c r="N833" s="899"/>
      <c r="O833" s="899"/>
      <c r="P833" s="899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96"/>
      <c r="E834" s="677"/>
      <c r="F834" s="677"/>
      <c r="G834" s="677"/>
      <c r="H834" s="897"/>
      <c r="I834" s="898"/>
      <c r="J834" s="898"/>
      <c r="K834" s="899"/>
      <c r="L834" s="899"/>
      <c r="M834" s="899"/>
      <c r="N834" s="899"/>
      <c r="O834" s="899"/>
      <c r="P834" s="899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96"/>
      <c r="E835" s="677"/>
      <c r="F835" s="677"/>
      <c r="G835" s="677"/>
      <c r="H835" s="897"/>
      <c r="I835" s="898"/>
      <c r="J835" s="898"/>
      <c r="K835" s="899"/>
      <c r="L835" s="899"/>
      <c r="M835" s="899"/>
      <c r="N835" s="899"/>
      <c r="O835" s="899"/>
      <c r="P835" s="899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96"/>
      <c r="E836" s="677"/>
      <c r="F836" s="677"/>
      <c r="G836" s="677"/>
      <c r="H836" s="897"/>
      <c r="I836" s="898"/>
      <c r="J836" s="898"/>
      <c r="K836" s="899"/>
      <c r="L836" s="899"/>
      <c r="M836" s="899"/>
      <c r="N836" s="899"/>
      <c r="O836" s="899"/>
      <c r="P836" s="899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96"/>
      <c r="E837" s="677"/>
      <c r="F837" s="677"/>
      <c r="G837" s="677"/>
      <c r="H837" s="897"/>
      <c r="I837" s="898"/>
      <c r="J837" s="898"/>
      <c r="K837" s="899"/>
      <c r="L837" s="899"/>
      <c r="M837" s="899"/>
      <c r="N837" s="899"/>
      <c r="O837" s="899"/>
      <c r="P837" s="899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96"/>
      <c r="E838" s="677"/>
      <c r="F838" s="677"/>
      <c r="G838" s="677"/>
      <c r="H838" s="897"/>
      <c r="I838" s="898"/>
      <c r="J838" s="898"/>
      <c r="K838" s="899"/>
      <c r="L838" s="899"/>
      <c r="M838" s="899"/>
      <c r="N838" s="899"/>
      <c r="O838" s="899"/>
      <c r="P838" s="899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96"/>
      <c r="E839" s="677"/>
      <c r="F839" s="677"/>
      <c r="G839" s="677"/>
      <c r="H839" s="897"/>
      <c r="I839" s="898"/>
      <c r="J839" s="898"/>
      <c r="K839" s="899"/>
      <c r="L839" s="899"/>
      <c r="M839" s="899"/>
      <c r="N839" s="899"/>
      <c r="O839" s="899"/>
      <c r="P839" s="899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96"/>
      <c r="E840" s="677"/>
      <c r="F840" s="677"/>
      <c r="G840" s="677"/>
      <c r="H840" s="897"/>
      <c r="I840" s="898"/>
      <c r="J840" s="898"/>
      <c r="K840" s="899"/>
      <c r="L840" s="899"/>
      <c r="M840" s="899"/>
      <c r="N840" s="899"/>
      <c r="O840" s="899"/>
      <c r="P840" s="899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96"/>
      <c r="E841" s="677"/>
      <c r="F841" s="677"/>
      <c r="G841" s="677"/>
      <c r="H841" s="897"/>
      <c r="I841" s="898"/>
      <c r="J841" s="898"/>
      <c r="K841" s="899"/>
      <c r="L841" s="899"/>
      <c r="M841" s="899"/>
      <c r="N841" s="899"/>
      <c r="O841" s="899"/>
      <c r="P841" s="899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96"/>
      <c r="E842" s="677"/>
      <c r="F842" s="677"/>
      <c r="G842" s="677"/>
      <c r="H842" s="897"/>
      <c r="I842" s="898"/>
      <c r="J842" s="898"/>
      <c r="K842" s="899"/>
      <c r="L842" s="899"/>
      <c r="M842" s="899"/>
      <c r="N842" s="899"/>
      <c r="O842" s="899"/>
      <c r="P842" s="899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96"/>
      <c r="E843" s="677"/>
      <c r="F843" s="677"/>
      <c r="G843" s="677"/>
      <c r="H843" s="897"/>
      <c r="I843" s="898"/>
      <c r="J843" s="898"/>
      <c r="K843" s="899"/>
      <c r="L843" s="899"/>
      <c r="M843" s="899"/>
      <c r="N843" s="899"/>
      <c r="O843" s="899"/>
      <c r="P843" s="899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96"/>
      <c r="E844" s="677"/>
      <c r="F844" s="677"/>
      <c r="G844" s="677"/>
      <c r="H844" s="897"/>
      <c r="I844" s="898"/>
      <c r="J844" s="898"/>
      <c r="K844" s="899"/>
      <c r="L844" s="899"/>
      <c r="M844" s="899"/>
      <c r="N844" s="899"/>
      <c r="O844" s="899"/>
      <c r="P844" s="899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96"/>
      <c r="E845" s="677"/>
      <c r="F845" s="677"/>
      <c r="G845" s="677"/>
      <c r="H845" s="897"/>
      <c r="I845" s="898"/>
      <c r="J845" s="898"/>
      <c r="K845" s="899"/>
      <c r="L845" s="899"/>
      <c r="M845" s="899"/>
      <c r="N845" s="899"/>
      <c r="O845" s="899"/>
      <c r="P845" s="899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96"/>
      <c r="E846" s="677"/>
      <c r="F846" s="677"/>
      <c r="G846" s="677"/>
      <c r="H846" s="897"/>
      <c r="I846" s="898"/>
      <c r="J846" s="898"/>
      <c r="K846" s="899"/>
      <c r="L846" s="899"/>
      <c r="M846" s="899"/>
      <c r="N846" s="899"/>
      <c r="O846" s="899"/>
      <c r="P846" s="899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96"/>
      <c r="E847" s="677"/>
      <c r="F847" s="677"/>
      <c r="G847" s="677"/>
      <c r="H847" s="897"/>
      <c r="I847" s="898"/>
      <c r="J847" s="898"/>
      <c r="K847" s="899"/>
      <c r="L847" s="899"/>
      <c r="M847" s="899"/>
      <c r="N847" s="899"/>
      <c r="O847" s="899"/>
      <c r="P847" s="899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96"/>
      <c r="E848" s="677"/>
      <c r="F848" s="677"/>
      <c r="G848" s="677"/>
      <c r="H848" s="897"/>
      <c r="I848" s="898"/>
      <c r="J848" s="898"/>
      <c r="K848" s="899"/>
      <c r="L848" s="899"/>
      <c r="M848" s="899"/>
      <c r="N848" s="899"/>
      <c r="O848" s="899"/>
      <c r="P848" s="899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96"/>
      <c r="E849" s="677"/>
      <c r="F849" s="677"/>
      <c r="G849" s="677"/>
      <c r="H849" s="897"/>
      <c r="I849" s="898"/>
      <c r="J849" s="898"/>
      <c r="K849" s="899"/>
      <c r="L849" s="899"/>
      <c r="M849" s="899"/>
      <c r="N849" s="899"/>
      <c r="O849" s="899"/>
      <c r="P849" s="899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96"/>
      <c r="E850" s="677"/>
      <c r="F850" s="677"/>
      <c r="G850" s="677"/>
      <c r="H850" s="897"/>
      <c r="I850" s="898"/>
      <c r="J850" s="898"/>
      <c r="K850" s="899"/>
      <c r="L850" s="899"/>
      <c r="M850" s="899"/>
      <c r="N850" s="899"/>
      <c r="O850" s="899"/>
      <c r="P850" s="899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96"/>
      <c r="E851" s="677"/>
      <c r="F851" s="677"/>
      <c r="G851" s="677"/>
      <c r="H851" s="897"/>
      <c r="I851" s="898"/>
      <c r="J851" s="898"/>
      <c r="K851" s="899"/>
      <c r="L851" s="899"/>
      <c r="M851" s="899"/>
      <c r="N851" s="899"/>
      <c r="O851" s="899"/>
      <c r="P851" s="899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96"/>
      <c r="E852" s="677"/>
      <c r="F852" s="677"/>
      <c r="G852" s="677"/>
      <c r="H852" s="897"/>
      <c r="I852" s="898"/>
      <c r="J852" s="898"/>
      <c r="K852" s="899"/>
      <c r="L852" s="899"/>
      <c r="M852" s="899"/>
      <c r="N852" s="899"/>
      <c r="O852" s="899"/>
      <c r="P852" s="899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96"/>
      <c r="E853" s="677"/>
      <c r="F853" s="677"/>
      <c r="G853" s="677"/>
      <c r="H853" s="897"/>
      <c r="I853" s="898"/>
      <c r="J853" s="898"/>
      <c r="K853" s="899"/>
      <c r="L853" s="899"/>
      <c r="M853" s="899"/>
      <c r="N853" s="899"/>
      <c r="O853" s="899"/>
      <c r="P853" s="899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96"/>
      <c r="E854" s="677"/>
      <c r="F854" s="677"/>
      <c r="G854" s="677"/>
      <c r="H854" s="897"/>
      <c r="I854" s="898"/>
      <c r="J854" s="898"/>
      <c r="K854" s="899"/>
      <c r="L854" s="899"/>
      <c r="M854" s="899"/>
      <c r="N854" s="899"/>
      <c r="O854" s="899"/>
      <c r="P854" s="899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96"/>
      <c r="E855" s="677"/>
      <c r="F855" s="677"/>
      <c r="G855" s="677"/>
      <c r="H855" s="897"/>
      <c r="I855" s="898"/>
      <c r="J855" s="898"/>
      <c r="K855" s="899"/>
      <c r="L855" s="899"/>
      <c r="M855" s="899"/>
      <c r="N855" s="899"/>
      <c r="O855" s="899"/>
      <c r="P855" s="899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96"/>
      <c r="E856" s="677"/>
      <c r="F856" s="677"/>
      <c r="G856" s="677"/>
      <c r="H856" s="897"/>
      <c r="I856" s="898"/>
      <c r="J856" s="898"/>
      <c r="K856" s="899"/>
      <c r="L856" s="899"/>
      <c r="M856" s="899"/>
      <c r="N856" s="899"/>
      <c r="O856" s="899"/>
      <c r="P856" s="899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96"/>
      <c r="E857" s="677"/>
      <c r="F857" s="677"/>
      <c r="G857" s="677"/>
      <c r="H857" s="897"/>
      <c r="I857" s="898"/>
      <c r="J857" s="898"/>
      <c r="K857" s="899"/>
      <c r="L857" s="899"/>
      <c r="M857" s="899"/>
      <c r="N857" s="899"/>
      <c r="O857" s="899"/>
      <c r="P857" s="899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96"/>
      <c r="E858" s="677"/>
      <c r="F858" s="677"/>
      <c r="G858" s="677"/>
      <c r="H858" s="897"/>
      <c r="I858" s="898"/>
      <c r="J858" s="898"/>
      <c r="K858" s="899"/>
      <c r="L858" s="899"/>
      <c r="M858" s="899"/>
      <c r="N858" s="899"/>
      <c r="O858" s="899"/>
      <c r="P858" s="899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96"/>
      <c r="E859" s="677"/>
      <c r="F859" s="677"/>
      <c r="G859" s="677"/>
      <c r="H859" s="897"/>
      <c r="I859" s="898"/>
      <c r="J859" s="898"/>
      <c r="K859" s="899"/>
      <c r="L859" s="899"/>
      <c r="M859" s="899"/>
      <c r="N859" s="899"/>
      <c r="O859" s="899"/>
      <c r="P859" s="899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96"/>
      <c r="E860" s="677"/>
      <c r="F860" s="677"/>
      <c r="G860" s="677"/>
      <c r="H860" s="897"/>
      <c r="I860" s="898"/>
      <c r="J860" s="898"/>
      <c r="K860" s="899"/>
      <c r="L860" s="899"/>
      <c r="M860" s="899"/>
      <c r="N860" s="899"/>
      <c r="O860" s="899"/>
      <c r="P860" s="899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96"/>
      <c r="E861" s="677"/>
      <c r="F861" s="677"/>
      <c r="G861" s="677"/>
      <c r="H861" s="897"/>
      <c r="I861" s="898"/>
      <c r="J861" s="898"/>
      <c r="K861" s="899"/>
      <c r="L861" s="899"/>
      <c r="M861" s="899"/>
      <c r="N861" s="899"/>
      <c r="O861" s="899"/>
      <c r="P861" s="899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96"/>
      <c r="E862" s="677"/>
      <c r="F862" s="677"/>
      <c r="G862" s="677"/>
      <c r="H862" s="897"/>
      <c r="I862" s="898"/>
      <c r="J862" s="898"/>
      <c r="K862" s="899"/>
      <c r="L862" s="899"/>
      <c r="M862" s="899"/>
      <c r="N862" s="899"/>
      <c r="O862" s="899"/>
      <c r="P862" s="899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96"/>
      <c r="E863" s="677"/>
      <c r="F863" s="677"/>
      <c r="G863" s="677"/>
      <c r="H863" s="897"/>
      <c r="I863" s="898"/>
      <c r="J863" s="898"/>
      <c r="K863" s="899"/>
      <c r="L863" s="899"/>
      <c r="M863" s="899"/>
      <c r="N863" s="899"/>
      <c r="O863" s="899"/>
      <c r="P863" s="899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96"/>
      <c r="E864" s="677"/>
      <c r="F864" s="677"/>
      <c r="G864" s="677"/>
      <c r="H864" s="897"/>
      <c r="I864" s="898"/>
      <c r="J864" s="898"/>
      <c r="K864" s="899"/>
      <c r="L864" s="899"/>
      <c r="M864" s="899"/>
      <c r="N864" s="899"/>
      <c r="O864" s="899"/>
      <c r="P864" s="899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96"/>
      <c r="E865" s="677"/>
      <c r="F865" s="677"/>
      <c r="G865" s="677"/>
      <c r="H865" s="897"/>
      <c r="I865" s="898"/>
      <c r="J865" s="898"/>
      <c r="K865" s="899"/>
      <c r="L865" s="899"/>
      <c r="M865" s="899"/>
      <c r="N865" s="899"/>
      <c r="O865" s="899"/>
      <c r="P865" s="899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96"/>
      <c r="E866" s="677"/>
      <c r="F866" s="677"/>
      <c r="G866" s="677"/>
      <c r="H866" s="897"/>
      <c r="I866" s="898"/>
      <c r="J866" s="898"/>
      <c r="K866" s="899"/>
      <c r="L866" s="899"/>
      <c r="M866" s="899"/>
      <c r="N866" s="899"/>
      <c r="O866" s="899"/>
      <c r="P866" s="899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96"/>
      <c r="E867" s="677"/>
      <c r="F867" s="677"/>
      <c r="G867" s="677"/>
      <c r="H867" s="897"/>
      <c r="I867" s="898"/>
      <c r="J867" s="898"/>
      <c r="K867" s="899"/>
      <c r="L867" s="899"/>
      <c r="M867" s="899"/>
      <c r="N867" s="899"/>
      <c r="O867" s="899"/>
      <c r="P867" s="899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96"/>
      <c r="E868" s="677"/>
      <c r="F868" s="677"/>
      <c r="G868" s="677"/>
      <c r="H868" s="897"/>
      <c r="I868" s="898"/>
      <c r="J868" s="898"/>
      <c r="K868" s="899"/>
      <c r="L868" s="899"/>
      <c r="M868" s="899"/>
      <c r="N868" s="899"/>
      <c r="O868" s="899"/>
      <c r="P868" s="899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96"/>
      <c r="E869" s="677"/>
      <c r="F869" s="677"/>
      <c r="G869" s="677"/>
      <c r="H869" s="897"/>
      <c r="I869" s="898"/>
      <c r="J869" s="898"/>
      <c r="K869" s="899"/>
      <c r="L869" s="899"/>
      <c r="M869" s="899"/>
      <c r="N869" s="899"/>
      <c r="O869" s="899"/>
      <c r="P869" s="899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96"/>
      <c r="E870" s="677"/>
      <c r="F870" s="677"/>
      <c r="G870" s="677"/>
      <c r="H870" s="897"/>
      <c r="I870" s="898"/>
      <c r="J870" s="898"/>
      <c r="K870" s="899"/>
      <c r="L870" s="899"/>
      <c r="M870" s="899"/>
      <c r="N870" s="899"/>
      <c r="O870" s="899"/>
      <c r="P870" s="899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96"/>
      <c r="E871" s="677"/>
      <c r="F871" s="677"/>
      <c r="G871" s="677"/>
      <c r="H871" s="897"/>
      <c r="I871" s="898"/>
      <c r="J871" s="898"/>
      <c r="K871" s="899"/>
      <c r="L871" s="899"/>
      <c r="M871" s="899"/>
      <c r="N871" s="899"/>
      <c r="O871" s="899"/>
      <c r="P871" s="899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96"/>
      <c r="E872" s="677"/>
      <c r="F872" s="677"/>
      <c r="G872" s="677"/>
      <c r="H872" s="897"/>
      <c r="I872" s="898"/>
      <c r="J872" s="898"/>
      <c r="K872" s="899"/>
      <c r="L872" s="899"/>
      <c r="M872" s="899"/>
      <c r="N872" s="899"/>
      <c r="O872" s="899"/>
      <c r="P872" s="899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96"/>
      <c r="E873" s="677"/>
      <c r="F873" s="677"/>
      <c r="G873" s="677"/>
      <c r="H873" s="897"/>
      <c r="I873" s="898"/>
      <c r="J873" s="898"/>
      <c r="K873" s="899"/>
      <c r="L873" s="899"/>
      <c r="M873" s="899"/>
      <c r="N873" s="899"/>
      <c r="O873" s="899"/>
      <c r="P873" s="899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96"/>
      <c r="E874" s="677"/>
      <c r="F874" s="677"/>
      <c r="G874" s="677"/>
      <c r="H874" s="897"/>
      <c r="I874" s="898"/>
      <c r="J874" s="898"/>
      <c r="K874" s="899"/>
      <c r="L874" s="899"/>
      <c r="M874" s="899"/>
      <c r="N874" s="899"/>
      <c r="O874" s="899"/>
      <c r="P874" s="899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96"/>
      <c r="E875" s="677"/>
      <c r="F875" s="677"/>
      <c r="G875" s="677"/>
      <c r="H875" s="897"/>
      <c r="I875" s="898"/>
      <c r="J875" s="898"/>
      <c r="K875" s="899"/>
      <c r="L875" s="899"/>
      <c r="M875" s="899"/>
      <c r="N875" s="899"/>
      <c r="O875" s="899"/>
      <c r="P875" s="899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96"/>
      <c r="E876" s="677"/>
      <c r="F876" s="677"/>
      <c r="G876" s="677"/>
      <c r="H876" s="897"/>
      <c r="I876" s="898"/>
      <c r="J876" s="898"/>
      <c r="K876" s="899"/>
      <c r="L876" s="899"/>
      <c r="M876" s="899"/>
      <c r="N876" s="899"/>
      <c r="O876" s="899"/>
      <c r="P876" s="899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96"/>
      <c r="E877" s="677"/>
      <c r="F877" s="677"/>
      <c r="G877" s="677"/>
      <c r="H877" s="897"/>
      <c r="I877" s="898"/>
      <c r="J877" s="898"/>
      <c r="K877" s="899"/>
      <c r="L877" s="899"/>
      <c r="M877" s="899"/>
      <c r="N877" s="899"/>
      <c r="O877" s="899"/>
      <c r="P877" s="899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96"/>
      <c r="E878" s="677"/>
      <c r="F878" s="677"/>
      <c r="G878" s="677"/>
      <c r="H878" s="897"/>
      <c r="I878" s="898"/>
      <c r="J878" s="898"/>
      <c r="K878" s="899"/>
      <c r="L878" s="899"/>
      <c r="M878" s="899"/>
      <c r="N878" s="899"/>
      <c r="O878" s="899"/>
      <c r="P878" s="899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96"/>
      <c r="E879" s="677"/>
      <c r="F879" s="677"/>
      <c r="G879" s="677"/>
      <c r="H879" s="897"/>
      <c r="I879" s="898"/>
      <c r="J879" s="898"/>
      <c r="K879" s="899"/>
      <c r="L879" s="899"/>
      <c r="M879" s="899"/>
      <c r="N879" s="899"/>
      <c r="O879" s="899"/>
      <c r="P879" s="899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96"/>
      <c r="E880" s="677"/>
      <c r="F880" s="677"/>
      <c r="G880" s="677"/>
      <c r="H880" s="897"/>
      <c r="I880" s="898"/>
      <c r="J880" s="898"/>
      <c r="K880" s="899"/>
      <c r="L880" s="899"/>
      <c r="M880" s="899"/>
      <c r="N880" s="899"/>
      <c r="O880" s="899"/>
      <c r="P880" s="899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96"/>
      <c r="E881" s="677"/>
      <c r="F881" s="677"/>
      <c r="G881" s="677"/>
      <c r="H881" s="897"/>
      <c r="I881" s="898"/>
      <c r="J881" s="898"/>
      <c r="K881" s="899"/>
      <c r="L881" s="899"/>
      <c r="M881" s="899"/>
      <c r="N881" s="899"/>
      <c r="O881" s="899"/>
      <c r="P881" s="899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96"/>
      <c r="E882" s="677"/>
      <c r="F882" s="677"/>
      <c r="G882" s="677"/>
      <c r="H882" s="897"/>
      <c r="I882" s="898"/>
      <c r="J882" s="898"/>
      <c r="K882" s="899"/>
      <c r="L882" s="899"/>
      <c r="M882" s="899"/>
      <c r="N882" s="899"/>
      <c r="O882" s="899"/>
      <c r="P882" s="899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96"/>
      <c r="E883" s="677"/>
      <c r="F883" s="677"/>
      <c r="G883" s="677"/>
      <c r="H883" s="897"/>
      <c r="I883" s="898"/>
      <c r="J883" s="898"/>
      <c r="K883" s="899"/>
      <c r="L883" s="899"/>
      <c r="M883" s="899"/>
      <c r="N883" s="899"/>
      <c r="O883" s="899"/>
      <c r="P883" s="899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96"/>
      <c r="E884" s="677"/>
      <c r="F884" s="677"/>
      <c r="G884" s="677"/>
      <c r="H884" s="897"/>
      <c r="I884" s="898"/>
      <c r="J884" s="898"/>
      <c r="K884" s="899"/>
      <c r="L884" s="899"/>
      <c r="M884" s="899"/>
      <c r="N884" s="899"/>
      <c r="O884" s="899"/>
      <c r="P884" s="899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96"/>
      <c r="E885" s="677"/>
      <c r="F885" s="677"/>
      <c r="G885" s="677"/>
      <c r="H885" s="897"/>
      <c r="I885" s="898"/>
      <c r="J885" s="898"/>
      <c r="K885" s="899"/>
      <c r="L885" s="899"/>
      <c r="M885" s="899"/>
      <c r="N885" s="899"/>
      <c r="O885" s="899"/>
      <c r="P885" s="899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96"/>
      <c r="E886" s="677"/>
      <c r="F886" s="677"/>
      <c r="G886" s="677"/>
      <c r="H886" s="897"/>
      <c r="I886" s="898"/>
      <c r="J886" s="898"/>
      <c r="K886" s="899"/>
      <c r="L886" s="899"/>
      <c r="M886" s="899"/>
      <c r="N886" s="899"/>
      <c r="O886" s="899"/>
      <c r="P886" s="899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96"/>
      <c r="E887" s="677"/>
      <c r="F887" s="677"/>
      <c r="G887" s="677"/>
      <c r="H887" s="897"/>
      <c r="I887" s="898"/>
      <c r="J887" s="898"/>
      <c r="K887" s="899"/>
      <c r="L887" s="899"/>
      <c r="M887" s="899"/>
      <c r="N887" s="899"/>
      <c r="O887" s="899"/>
      <c r="P887" s="899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96"/>
      <c r="E888" s="677"/>
      <c r="F888" s="677"/>
      <c r="G888" s="677"/>
      <c r="H888" s="897"/>
      <c r="I888" s="898"/>
      <c r="J888" s="898"/>
      <c r="K888" s="899"/>
      <c r="L888" s="899"/>
      <c r="M888" s="899"/>
      <c r="N888" s="899"/>
      <c r="O888" s="899"/>
      <c r="P888" s="899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96"/>
      <c r="E889" s="677"/>
      <c r="F889" s="677"/>
      <c r="G889" s="677"/>
      <c r="H889" s="897"/>
      <c r="I889" s="898"/>
      <c r="J889" s="898"/>
      <c r="K889" s="899"/>
      <c r="L889" s="899"/>
      <c r="M889" s="899"/>
      <c r="N889" s="899"/>
      <c r="O889" s="899"/>
      <c r="P889" s="899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96"/>
      <c r="E890" s="677"/>
      <c r="F890" s="677"/>
      <c r="G890" s="677"/>
      <c r="H890" s="897"/>
      <c r="I890" s="898"/>
      <c r="J890" s="898"/>
      <c r="K890" s="899"/>
      <c r="L890" s="899"/>
      <c r="M890" s="899"/>
      <c r="N890" s="899"/>
      <c r="O890" s="899"/>
      <c r="P890" s="899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96"/>
      <c r="E891" s="677"/>
      <c r="F891" s="677"/>
      <c r="G891" s="677"/>
      <c r="H891" s="897"/>
      <c r="I891" s="898"/>
      <c r="J891" s="898"/>
      <c r="K891" s="899"/>
      <c r="L891" s="899"/>
      <c r="M891" s="899"/>
      <c r="N891" s="899"/>
      <c r="O891" s="899"/>
      <c r="P891" s="899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96"/>
      <c r="E892" s="677"/>
      <c r="F892" s="677"/>
      <c r="G892" s="677"/>
      <c r="H892" s="897"/>
      <c r="I892" s="898"/>
      <c r="J892" s="898"/>
      <c r="K892" s="899"/>
      <c r="L892" s="899"/>
      <c r="M892" s="899"/>
      <c r="N892" s="899"/>
      <c r="O892" s="899"/>
      <c r="P892" s="899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96"/>
      <c r="E893" s="677"/>
      <c r="F893" s="677"/>
      <c r="G893" s="677"/>
      <c r="H893" s="897"/>
      <c r="I893" s="898"/>
      <c r="J893" s="898"/>
      <c r="K893" s="899"/>
      <c r="L893" s="899"/>
      <c r="M893" s="899"/>
      <c r="N893" s="899"/>
      <c r="O893" s="899"/>
      <c r="P893" s="899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96"/>
      <c r="E894" s="677"/>
      <c r="F894" s="677"/>
      <c r="G894" s="677"/>
      <c r="H894" s="897"/>
      <c r="I894" s="898"/>
      <c r="J894" s="898"/>
      <c r="K894" s="899"/>
      <c r="L894" s="899"/>
      <c r="M894" s="899"/>
      <c r="N894" s="899"/>
      <c r="O894" s="899"/>
      <c r="P894" s="899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96"/>
      <c r="E895" s="677"/>
      <c r="F895" s="677"/>
      <c r="G895" s="677"/>
      <c r="H895" s="897"/>
      <c r="I895" s="898"/>
      <c r="J895" s="898"/>
      <c r="K895" s="899"/>
      <c r="L895" s="899"/>
      <c r="M895" s="899"/>
      <c r="N895" s="899"/>
      <c r="O895" s="899"/>
      <c r="P895" s="899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96"/>
      <c r="E896" s="677"/>
      <c r="F896" s="677"/>
      <c r="G896" s="677"/>
      <c r="H896" s="897"/>
      <c r="I896" s="898"/>
      <c r="J896" s="898"/>
      <c r="K896" s="899"/>
      <c r="L896" s="899"/>
      <c r="M896" s="899"/>
      <c r="N896" s="899"/>
      <c r="O896" s="899"/>
      <c r="P896" s="899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96"/>
      <c r="E897" s="677"/>
      <c r="F897" s="677"/>
      <c r="G897" s="677"/>
      <c r="H897" s="897"/>
      <c r="I897" s="898"/>
      <c r="J897" s="898"/>
      <c r="K897" s="899"/>
      <c r="L897" s="899"/>
      <c r="M897" s="899"/>
      <c r="N897" s="899"/>
      <c r="O897" s="899"/>
      <c r="P897" s="899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96"/>
      <c r="E898" s="677"/>
      <c r="F898" s="677"/>
      <c r="G898" s="677"/>
      <c r="H898" s="897"/>
      <c r="I898" s="898"/>
      <c r="J898" s="898"/>
      <c r="K898" s="899"/>
      <c r="L898" s="899"/>
      <c r="M898" s="899"/>
      <c r="N898" s="899"/>
      <c r="O898" s="899"/>
      <c r="P898" s="899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96"/>
      <c r="E899" s="677"/>
      <c r="F899" s="677"/>
      <c r="G899" s="677"/>
      <c r="H899" s="897"/>
      <c r="I899" s="898"/>
      <c r="J899" s="898"/>
      <c r="K899" s="899"/>
      <c r="L899" s="899"/>
      <c r="M899" s="899"/>
      <c r="N899" s="899"/>
      <c r="O899" s="899"/>
      <c r="P899" s="899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96"/>
      <c r="E900" s="677"/>
      <c r="F900" s="677"/>
      <c r="G900" s="677"/>
      <c r="H900" s="897"/>
      <c r="I900" s="898"/>
      <c r="J900" s="898"/>
      <c r="K900" s="899"/>
      <c r="L900" s="899"/>
      <c r="M900" s="899"/>
      <c r="N900" s="899"/>
      <c r="O900" s="899"/>
      <c r="P900" s="899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96"/>
      <c r="E901" s="677"/>
      <c r="F901" s="677"/>
      <c r="G901" s="677"/>
      <c r="H901" s="897"/>
      <c r="I901" s="898"/>
      <c r="J901" s="898"/>
      <c r="K901" s="899"/>
      <c r="L901" s="899"/>
      <c r="M901" s="899"/>
      <c r="N901" s="899"/>
      <c r="O901" s="899"/>
      <c r="P901" s="899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96"/>
      <c r="E902" s="677"/>
      <c r="F902" s="677"/>
      <c r="G902" s="677"/>
      <c r="H902" s="897"/>
      <c r="I902" s="898"/>
      <c r="J902" s="898"/>
      <c r="K902" s="899"/>
      <c r="L902" s="899"/>
      <c r="M902" s="899"/>
      <c r="N902" s="899"/>
      <c r="O902" s="899"/>
      <c r="P902" s="899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96"/>
      <c r="E903" s="677"/>
      <c r="F903" s="677"/>
      <c r="G903" s="677"/>
      <c r="H903" s="897"/>
      <c r="I903" s="898"/>
      <c r="J903" s="898"/>
      <c r="K903" s="899"/>
      <c r="L903" s="899"/>
      <c r="M903" s="899"/>
      <c r="N903" s="899"/>
      <c r="O903" s="899"/>
      <c r="P903" s="899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96"/>
      <c r="E904" s="677"/>
      <c r="F904" s="677"/>
      <c r="G904" s="677"/>
      <c r="H904" s="897"/>
      <c r="I904" s="898"/>
      <c r="J904" s="898"/>
      <c r="K904" s="899"/>
      <c r="L904" s="899"/>
      <c r="M904" s="899"/>
      <c r="N904" s="899"/>
      <c r="O904" s="899"/>
      <c r="P904" s="899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96"/>
      <c r="E905" s="677"/>
      <c r="F905" s="677"/>
      <c r="G905" s="677"/>
      <c r="H905" s="897"/>
      <c r="I905" s="898"/>
      <c r="J905" s="898"/>
      <c r="K905" s="899"/>
      <c r="L905" s="899"/>
      <c r="M905" s="899"/>
      <c r="N905" s="899"/>
      <c r="O905" s="899"/>
      <c r="P905" s="899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96"/>
      <c r="E906" s="677"/>
      <c r="F906" s="677"/>
      <c r="G906" s="677"/>
      <c r="H906" s="897"/>
      <c r="I906" s="898"/>
      <c r="J906" s="898"/>
      <c r="K906" s="899"/>
      <c r="L906" s="899"/>
      <c r="M906" s="899"/>
      <c r="N906" s="899"/>
      <c r="O906" s="899"/>
      <c r="P906" s="899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96"/>
      <c r="E907" s="677"/>
      <c r="F907" s="677"/>
      <c r="G907" s="677"/>
      <c r="H907" s="897"/>
      <c r="I907" s="898"/>
      <c r="J907" s="898"/>
      <c r="K907" s="899"/>
      <c r="L907" s="899"/>
      <c r="M907" s="899"/>
      <c r="N907" s="899"/>
      <c r="O907" s="899"/>
      <c r="P907" s="899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96"/>
      <c r="E908" s="677"/>
      <c r="F908" s="677"/>
      <c r="G908" s="677"/>
      <c r="H908" s="897"/>
      <c r="I908" s="898"/>
      <c r="J908" s="898"/>
      <c r="K908" s="899"/>
      <c r="L908" s="899"/>
      <c r="M908" s="899"/>
      <c r="N908" s="899"/>
      <c r="O908" s="899"/>
      <c r="P908" s="899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96"/>
      <c r="E909" s="677"/>
      <c r="F909" s="677"/>
      <c r="G909" s="677"/>
      <c r="H909" s="897"/>
      <c r="I909" s="898"/>
      <c r="J909" s="898"/>
      <c r="K909" s="899"/>
      <c r="L909" s="899"/>
      <c r="M909" s="899"/>
      <c r="N909" s="899"/>
      <c r="O909" s="899"/>
      <c r="P909" s="899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96"/>
      <c r="E910" s="677"/>
      <c r="F910" s="677"/>
      <c r="G910" s="677"/>
      <c r="H910" s="897"/>
      <c r="I910" s="898"/>
      <c r="J910" s="898"/>
      <c r="K910" s="899"/>
      <c r="L910" s="899"/>
      <c r="M910" s="899"/>
      <c r="N910" s="899"/>
      <c r="O910" s="899"/>
      <c r="P910" s="899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96"/>
      <c r="E911" s="677"/>
      <c r="F911" s="677"/>
      <c r="G911" s="677"/>
      <c r="H911" s="897"/>
      <c r="I911" s="898"/>
      <c r="J911" s="898"/>
      <c r="K911" s="899"/>
      <c r="L911" s="899"/>
      <c r="M911" s="899"/>
      <c r="N911" s="899"/>
      <c r="O911" s="899"/>
      <c r="P911" s="899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96"/>
      <c r="E912" s="677"/>
      <c r="F912" s="677"/>
      <c r="G912" s="677"/>
      <c r="H912" s="897"/>
      <c r="I912" s="898"/>
      <c r="J912" s="898"/>
      <c r="K912" s="899"/>
      <c r="L912" s="899"/>
      <c r="M912" s="899"/>
      <c r="N912" s="899"/>
      <c r="O912" s="899"/>
      <c r="P912" s="899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96"/>
      <c r="E913" s="677"/>
      <c r="F913" s="677"/>
      <c r="G913" s="677"/>
      <c r="H913" s="897"/>
      <c r="I913" s="898"/>
      <c r="J913" s="898"/>
      <c r="K913" s="899"/>
      <c r="L913" s="899"/>
      <c r="M913" s="899"/>
      <c r="N913" s="899"/>
      <c r="O913" s="899"/>
      <c r="P913" s="899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96"/>
      <c r="E914" s="677"/>
      <c r="F914" s="677"/>
      <c r="G914" s="677"/>
      <c r="H914" s="897"/>
      <c r="I914" s="898"/>
      <c r="J914" s="898"/>
      <c r="K914" s="899"/>
      <c r="L914" s="899"/>
      <c r="M914" s="899"/>
      <c r="N914" s="899"/>
      <c r="O914" s="899"/>
      <c r="P914" s="899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96"/>
      <c r="E915" s="677"/>
      <c r="F915" s="677"/>
      <c r="G915" s="677"/>
      <c r="H915" s="897"/>
      <c r="I915" s="898"/>
      <c r="J915" s="898"/>
      <c r="K915" s="899"/>
      <c r="L915" s="899"/>
      <c r="M915" s="899"/>
      <c r="N915" s="899"/>
      <c r="O915" s="899"/>
      <c r="P915" s="899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96"/>
      <c r="E916" s="677"/>
      <c r="F916" s="677"/>
      <c r="G916" s="677"/>
      <c r="H916" s="897"/>
      <c r="I916" s="898"/>
      <c r="J916" s="898"/>
      <c r="K916" s="899"/>
      <c r="L916" s="899"/>
      <c r="M916" s="899"/>
      <c r="N916" s="899"/>
      <c r="O916" s="899"/>
      <c r="P916" s="899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96"/>
      <c r="E917" s="677"/>
      <c r="F917" s="677"/>
      <c r="G917" s="677"/>
      <c r="H917" s="897"/>
      <c r="I917" s="898"/>
      <c r="J917" s="898"/>
      <c r="K917" s="899"/>
      <c r="L917" s="899"/>
      <c r="M917" s="899"/>
      <c r="N917" s="899"/>
      <c r="O917" s="899"/>
      <c r="P917" s="899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96"/>
      <c r="E918" s="677"/>
      <c r="F918" s="677"/>
      <c r="G918" s="677"/>
      <c r="H918" s="897"/>
      <c r="I918" s="898"/>
      <c r="J918" s="898"/>
      <c r="K918" s="899"/>
      <c r="L918" s="899"/>
      <c r="M918" s="899"/>
      <c r="N918" s="899"/>
      <c r="O918" s="899"/>
      <c r="P918" s="899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96"/>
      <c r="E919" s="677"/>
      <c r="F919" s="677"/>
      <c r="G919" s="677"/>
      <c r="H919" s="897"/>
      <c r="I919" s="898"/>
      <c r="J919" s="898"/>
      <c r="K919" s="899"/>
      <c r="L919" s="899"/>
      <c r="M919" s="899"/>
      <c r="N919" s="899"/>
      <c r="O919" s="899"/>
      <c r="P919" s="899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96"/>
      <c r="E920" s="677"/>
      <c r="F920" s="677"/>
      <c r="G920" s="677"/>
      <c r="H920" s="897"/>
      <c r="I920" s="898"/>
      <c r="J920" s="898"/>
      <c r="K920" s="899"/>
      <c r="L920" s="899"/>
      <c r="M920" s="899"/>
      <c r="N920" s="899"/>
      <c r="O920" s="899"/>
      <c r="P920" s="899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96"/>
      <c r="E921" s="677"/>
      <c r="F921" s="677"/>
      <c r="G921" s="677"/>
      <c r="H921" s="897"/>
      <c r="I921" s="898"/>
      <c r="J921" s="898"/>
      <c r="K921" s="899"/>
      <c r="L921" s="899"/>
      <c r="M921" s="899"/>
      <c r="N921" s="899"/>
      <c r="O921" s="899"/>
      <c r="P921" s="899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96"/>
      <c r="E922" s="677"/>
      <c r="F922" s="677"/>
      <c r="G922" s="677"/>
      <c r="H922" s="897"/>
      <c r="I922" s="898"/>
      <c r="J922" s="898"/>
      <c r="K922" s="899"/>
      <c r="L922" s="899"/>
      <c r="M922" s="899"/>
      <c r="N922" s="899"/>
      <c r="O922" s="899"/>
      <c r="P922" s="899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96"/>
      <c r="E923" s="677"/>
      <c r="F923" s="677"/>
      <c r="G923" s="677"/>
      <c r="H923" s="897"/>
      <c r="I923" s="898"/>
      <c r="J923" s="898"/>
      <c r="K923" s="899"/>
      <c r="L923" s="899"/>
      <c r="M923" s="899"/>
      <c r="N923" s="899"/>
      <c r="O923" s="899"/>
      <c r="P923" s="899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96"/>
      <c r="E924" s="677"/>
      <c r="F924" s="677"/>
      <c r="G924" s="677"/>
      <c r="H924" s="897"/>
      <c r="I924" s="898"/>
      <c r="J924" s="898"/>
      <c r="K924" s="899"/>
      <c r="L924" s="899"/>
      <c r="M924" s="899"/>
      <c r="N924" s="899"/>
      <c r="O924" s="899"/>
      <c r="P924" s="899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96"/>
      <c r="E925" s="677"/>
      <c r="F925" s="677"/>
      <c r="G925" s="677"/>
      <c r="H925" s="897"/>
      <c r="I925" s="898"/>
      <c r="J925" s="898"/>
      <c r="K925" s="899"/>
      <c r="L925" s="899"/>
      <c r="M925" s="899"/>
      <c r="N925" s="899"/>
      <c r="O925" s="899"/>
      <c r="P925" s="899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96"/>
      <c r="E926" s="677"/>
      <c r="F926" s="677"/>
      <c r="G926" s="677"/>
      <c r="H926" s="897"/>
      <c r="I926" s="898"/>
      <c r="J926" s="898"/>
      <c r="K926" s="899"/>
      <c r="L926" s="899"/>
      <c r="M926" s="899"/>
      <c r="N926" s="899"/>
      <c r="O926" s="899"/>
      <c r="P926" s="899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96"/>
      <c r="E927" s="677"/>
      <c r="F927" s="677"/>
      <c r="G927" s="677"/>
      <c r="H927" s="897"/>
      <c r="I927" s="898"/>
      <c r="J927" s="898"/>
      <c r="K927" s="899"/>
      <c r="L927" s="899"/>
      <c r="M927" s="899"/>
      <c r="N927" s="899"/>
      <c r="O927" s="899"/>
      <c r="P927" s="899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96"/>
      <c r="E928" s="677"/>
      <c r="F928" s="677"/>
      <c r="G928" s="677"/>
      <c r="H928" s="897"/>
      <c r="I928" s="898"/>
      <c r="J928" s="898"/>
      <c r="K928" s="899"/>
      <c r="L928" s="899"/>
      <c r="M928" s="899"/>
      <c r="N928" s="899"/>
      <c r="O928" s="899"/>
      <c r="P928" s="899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96"/>
      <c r="E929" s="677"/>
      <c r="F929" s="677"/>
      <c r="G929" s="677"/>
      <c r="H929" s="897"/>
      <c r="I929" s="898"/>
      <c r="J929" s="898"/>
      <c r="K929" s="899"/>
      <c r="L929" s="899"/>
      <c r="M929" s="899"/>
      <c r="N929" s="899"/>
      <c r="O929" s="899"/>
      <c r="P929" s="899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96"/>
      <c r="E930" s="677"/>
      <c r="F930" s="677"/>
      <c r="G930" s="677"/>
      <c r="H930" s="897"/>
      <c r="I930" s="898"/>
      <c r="J930" s="898"/>
      <c r="K930" s="899"/>
      <c r="L930" s="899"/>
      <c r="M930" s="899"/>
      <c r="N930" s="899"/>
      <c r="O930" s="899"/>
      <c r="P930" s="899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96"/>
      <c r="E931" s="677"/>
      <c r="F931" s="677"/>
      <c r="G931" s="677"/>
      <c r="H931" s="897"/>
      <c r="I931" s="898"/>
      <c r="J931" s="898"/>
      <c r="K931" s="899"/>
      <c r="L931" s="899"/>
      <c r="M931" s="899"/>
      <c r="N931" s="899"/>
      <c r="O931" s="899"/>
      <c r="P931" s="899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96"/>
      <c r="E932" s="677"/>
      <c r="F932" s="677"/>
      <c r="G932" s="677"/>
      <c r="H932" s="897"/>
      <c r="I932" s="898"/>
      <c r="J932" s="898"/>
      <c r="K932" s="899"/>
      <c r="L932" s="899"/>
      <c r="M932" s="899"/>
      <c r="N932" s="899"/>
      <c r="O932" s="899"/>
      <c r="P932" s="899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96"/>
      <c r="E933" s="677"/>
      <c r="F933" s="677"/>
      <c r="G933" s="677"/>
      <c r="H933" s="897"/>
      <c r="I933" s="898"/>
      <c r="J933" s="898"/>
      <c r="K933" s="899"/>
      <c r="L933" s="899"/>
      <c r="M933" s="899"/>
      <c r="N933" s="899"/>
      <c r="O933" s="899"/>
      <c r="P933" s="899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96"/>
      <c r="E934" s="677"/>
      <c r="F934" s="677"/>
      <c r="G934" s="677"/>
      <c r="H934" s="897"/>
      <c r="I934" s="898"/>
      <c r="J934" s="898"/>
      <c r="K934" s="899"/>
      <c r="L934" s="899"/>
      <c r="M934" s="899"/>
      <c r="N934" s="899"/>
      <c r="O934" s="899"/>
      <c r="P934" s="899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96"/>
      <c r="E935" s="677"/>
      <c r="F935" s="677"/>
      <c r="G935" s="677"/>
      <c r="H935" s="897"/>
      <c r="I935" s="898"/>
      <c r="J935" s="898"/>
      <c r="K935" s="899"/>
      <c r="L935" s="899"/>
      <c r="M935" s="899"/>
      <c r="N935" s="899"/>
      <c r="O935" s="899"/>
      <c r="P935" s="899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96"/>
      <c r="E936" s="677"/>
      <c r="F936" s="677"/>
      <c r="G936" s="677"/>
      <c r="H936" s="897"/>
      <c r="I936" s="898"/>
      <c r="J936" s="898"/>
      <c r="K936" s="899"/>
      <c r="L936" s="899"/>
      <c r="M936" s="899"/>
      <c r="N936" s="899"/>
      <c r="O936" s="899"/>
      <c r="P936" s="899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96"/>
      <c r="E937" s="677"/>
      <c r="F937" s="677"/>
      <c r="G937" s="677"/>
      <c r="H937" s="897"/>
      <c r="I937" s="898"/>
      <c r="J937" s="898"/>
      <c r="K937" s="899"/>
      <c r="L937" s="899"/>
      <c r="M937" s="899"/>
      <c r="N937" s="899"/>
      <c r="O937" s="899"/>
      <c r="P937" s="899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96"/>
      <c r="E938" s="677"/>
      <c r="F938" s="677"/>
      <c r="G938" s="677"/>
      <c r="H938" s="897"/>
      <c r="I938" s="898"/>
      <c r="J938" s="898"/>
      <c r="K938" s="899"/>
      <c r="L938" s="899"/>
      <c r="M938" s="899"/>
      <c r="N938" s="899"/>
      <c r="O938" s="899"/>
      <c r="P938" s="899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96"/>
      <c r="E939" s="677"/>
      <c r="F939" s="677"/>
      <c r="G939" s="677"/>
      <c r="H939" s="897"/>
      <c r="I939" s="898"/>
      <c r="J939" s="898"/>
      <c r="K939" s="899"/>
      <c r="L939" s="899"/>
      <c r="M939" s="899"/>
      <c r="N939" s="899"/>
      <c r="O939" s="899"/>
      <c r="P939" s="899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96"/>
      <c r="E940" s="677"/>
      <c r="F940" s="677"/>
      <c r="G940" s="677"/>
      <c r="H940" s="897"/>
      <c r="I940" s="898"/>
      <c r="J940" s="898"/>
      <c r="K940" s="899"/>
      <c r="L940" s="899"/>
      <c r="M940" s="899"/>
      <c r="N940" s="899"/>
      <c r="O940" s="899"/>
      <c r="P940" s="899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96"/>
      <c r="E941" s="677"/>
      <c r="F941" s="677"/>
      <c r="G941" s="677"/>
      <c r="H941" s="897"/>
      <c r="I941" s="898"/>
      <c r="J941" s="898"/>
      <c r="K941" s="899"/>
      <c r="L941" s="899"/>
      <c r="M941" s="899"/>
      <c r="N941" s="899"/>
      <c r="O941" s="899"/>
      <c r="P941" s="899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96"/>
      <c r="E942" s="677"/>
      <c r="F942" s="677"/>
      <c r="G942" s="677"/>
      <c r="H942" s="897"/>
      <c r="I942" s="898"/>
      <c r="J942" s="898"/>
      <c r="K942" s="899"/>
      <c r="L942" s="899"/>
      <c r="M942" s="899"/>
      <c r="N942" s="899"/>
      <c r="O942" s="899"/>
      <c r="P942" s="899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96"/>
      <c r="E943" s="677"/>
      <c r="F943" s="677"/>
      <c r="G943" s="677"/>
      <c r="H943" s="897"/>
      <c r="I943" s="898"/>
      <c r="J943" s="898"/>
      <c r="K943" s="899"/>
      <c r="L943" s="899"/>
      <c r="M943" s="899"/>
      <c r="N943" s="899"/>
      <c r="O943" s="899"/>
      <c r="P943" s="899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96"/>
      <c r="E944" s="677"/>
      <c r="F944" s="677"/>
      <c r="G944" s="677"/>
      <c r="H944" s="897"/>
      <c r="I944" s="898"/>
      <c r="J944" s="898"/>
      <c r="K944" s="899"/>
      <c r="L944" s="899"/>
      <c r="M944" s="899"/>
      <c r="N944" s="899"/>
      <c r="O944" s="899"/>
      <c r="P944" s="899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96"/>
      <c r="E945" s="677"/>
      <c r="F945" s="677"/>
      <c r="G945" s="677"/>
      <c r="H945" s="897"/>
      <c r="I945" s="898"/>
      <c r="J945" s="898"/>
      <c r="K945" s="899"/>
      <c r="L945" s="899"/>
      <c r="M945" s="899"/>
      <c r="N945" s="899"/>
      <c r="O945" s="899"/>
      <c r="P945" s="899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96"/>
      <c r="E946" s="677"/>
      <c r="F946" s="677"/>
      <c r="G946" s="677"/>
      <c r="H946" s="897"/>
      <c r="I946" s="898"/>
      <c r="J946" s="898"/>
      <c r="K946" s="899"/>
      <c r="L946" s="899"/>
      <c r="M946" s="899"/>
      <c r="N946" s="899"/>
      <c r="O946" s="899"/>
      <c r="P946" s="899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96"/>
      <c r="E947" s="677"/>
      <c r="F947" s="677"/>
      <c r="G947" s="677"/>
      <c r="H947" s="897"/>
      <c r="I947" s="898"/>
      <c r="J947" s="898"/>
      <c r="K947" s="899"/>
      <c r="L947" s="899"/>
      <c r="M947" s="899"/>
      <c r="N947" s="899"/>
      <c r="O947" s="899"/>
      <c r="P947" s="899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96"/>
      <c r="E948" s="677"/>
      <c r="F948" s="677"/>
      <c r="G948" s="677"/>
      <c r="H948" s="897"/>
      <c r="I948" s="898"/>
      <c r="J948" s="898"/>
      <c r="K948" s="899"/>
      <c r="L948" s="899"/>
      <c r="M948" s="899"/>
      <c r="N948" s="899"/>
      <c r="O948" s="899"/>
      <c r="P948" s="899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96"/>
      <c r="E949" s="677"/>
      <c r="F949" s="677"/>
      <c r="G949" s="677"/>
      <c r="H949" s="897"/>
      <c r="I949" s="898"/>
      <c r="J949" s="898"/>
      <c r="K949" s="899"/>
      <c r="L949" s="899"/>
      <c r="M949" s="899"/>
      <c r="N949" s="899"/>
      <c r="O949" s="899"/>
      <c r="P949" s="899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96"/>
      <c r="E950" s="677"/>
      <c r="F950" s="677"/>
      <c r="G950" s="677"/>
      <c r="H950" s="897"/>
      <c r="I950" s="898"/>
      <c r="J950" s="898"/>
      <c r="K950" s="899"/>
      <c r="L950" s="899"/>
      <c r="M950" s="899"/>
      <c r="N950" s="899"/>
      <c r="O950" s="899"/>
      <c r="P950" s="899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96"/>
      <c r="E951" s="677"/>
      <c r="F951" s="677"/>
      <c r="G951" s="677"/>
      <c r="H951" s="897"/>
      <c r="I951" s="898"/>
      <c r="J951" s="898"/>
      <c r="K951" s="899"/>
      <c r="L951" s="899"/>
      <c r="M951" s="899"/>
      <c r="N951" s="899"/>
      <c r="O951" s="899"/>
      <c r="P951" s="899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96"/>
      <c r="E952" s="677"/>
      <c r="F952" s="677"/>
      <c r="G952" s="677"/>
      <c r="H952" s="897"/>
      <c r="I952" s="898"/>
      <c r="J952" s="898"/>
      <c r="K952" s="899"/>
      <c r="L952" s="899"/>
      <c r="M952" s="899"/>
      <c r="N952" s="899"/>
      <c r="O952" s="899"/>
      <c r="P952" s="899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96"/>
      <c r="E953" s="677"/>
      <c r="F953" s="677"/>
      <c r="G953" s="677"/>
      <c r="H953" s="897"/>
      <c r="I953" s="898"/>
      <c r="J953" s="898"/>
      <c r="K953" s="899"/>
      <c r="L953" s="899"/>
      <c r="M953" s="899"/>
      <c r="N953" s="899"/>
      <c r="O953" s="899"/>
      <c r="P953" s="899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96"/>
      <c r="E954" s="677"/>
      <c r="F954" s="677"/>
      <c r="G954" s="677"/>
      <c r="H954" s="897"/>
      <c r="I954" s="898"/>
      <c r="J954" s="898"/>
      <c r="K954" s="899"/>
      <c r="L954" s="899"/>
      <c r="M954" s="899"/>
      <c r="N954" s="899"/>
      <c r="O954" s="899"/>
      <c r="P954" s="899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96"/>
      <c r="E955" s="677"/>
      <c r="F955" s="677"/>
      <c r="G955" s="677"/>
      <c r="H955" s="897"/>
      <c r="I955" s="898"/>
      <c r="J955" s="898"/>
      <c r="K955" s="899"/>
      <c r="L955" s="899"/>
      <c r="M955" s="899"/>
      <c r="N955" s="899"/>
      <c r="O955" s="899"/>
      <c r="P955" s="899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96"/>
      <c r="E956" s="677"/>
      <c r="F956" s="677"/>
      <c r="G956" s="677"/>
      <c r="H956" s="897"/>
      <c r="I956" s="898"/>
      <c r="J956" s="898"/>
      <c r="K956" s="899"/>
      <c r="L956" s="899"/>
      <c r="M956" s="899"/>
      <c r="N956" s="899"/>
      <c r="O956" s="899"/>
      <c r="P956" s="899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96"/>
      <c r="E957" s="677"/>
      <c r="F957" s="677"/>
      <c r="G957" s="677"/>
      <c r="H957" s="897"/>
      <c r="I957" s="898"/>
      <c r="J957" s="898"/>
      <c r="K957" s="899"/>
      <c r="L957" s="899"/>
      <c r="M957" s="899"/>
      <c r="N957" s="899"/>
      <c r="O957" s="899"/>
      <c r="P957" s="899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96"/>
      <c r="E958" s="677"/>
      <c r="F958" s="677"/>
      <c r="G958" s="677"/>
      <c r="H958" s="897"/>
      <c r="I958" s="898"/>
      <c r="J958" s="898"/>
      <c r="K958" s="899"/>
      <c r="L958" s="899"/>
      <c r="M958" s="899"/>
      <c r="N958" s="899"/>
      <c r="O958" s="899"/>
      <c r="P958" s="899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96"/>
      <c r="E959" s="677"/>
      <c r="F959" s="677"/>
      <c r="G959" s="677"/>
      <c r="H959" s="897"/>
      <c r="I959" s="898"/>
      <c r="J959" s="898"/>
      <c r="K959" s="899"/>
      <c r="L959" s="899"/>
      <c r="M959" s="899"/>
      <c r="N959" s="899"/>
      <c r="O959" s="899"/>
      <c r="P959" s="899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96"/>
      <c r="E960" s="677"/>
      <c r="F960" s="677"/>
      <c r="G960" s="677"/>
      <c r="H960" s="897"/>
      <c r="I960" s="898"/>
      <c r="J960" s="898"/>
      <c r="K960" s="899"/>
      <c r="L960" s="899"/>
      <c r="M960" s="899"/>
      <c r="N960" s="899"/>
      <c r="O960" s="899"/>
      <c r="P960" s="899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96"/>
      <c r="E961" s="677"/>
      <c r="F961" s="677"/>
      <c r="G961" s="677"/>
      <c r="H961" s="897"/>
      <c r="I961" s="898"/>
      <c r="J961" s="898"/>
      <c r="K961" s="899"/>
      <c r="L961" s="899"/>
      <c r="M961" s="899"/>
      <c r="N961" s="899"/>
      <c r="O961" s="899"/>
      <c r="P961" s="899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96"/>
      <c r="E962" s="677"/>
      <c r="F962" s="677"/>
      <c r="G962" s="677"/>
      <c r="H962" s="897"/>
      <c r="I962" s="898"/>
      <c r="J962" s="898"/>
      <c r="K962" s="899"/>
      <c r="L962" s="899"/>
      <c r="M962" s="899"/>
      <c r="N962" s="899"/>
      <c r="O962" s="899"/>
      <c r="P962" s="899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96"/>
      <c r="E963" s="677"/>
      <c r="F963" s="677"/>
      <c r="G963" s="677"/>
      <c r="H963" s="897"/>
      <c r="I963" s="898"/>
      <c r="J963" s="898"/>
      <c r="K963" s="899"/>
      <c r="L963" s="899"/>
      <c r="M963" s="899"/>
      <c r="N963" s="899"/>
      <c r="O963" s="899"/>
      <c r="P963" s="899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96"/>
      <c r="E964" s="677"/>
      <c r="F964" s="677"/>
      <c r="G964" s="677"/>
      <c r="H964" s="897"/>
      <c r="I964" s="898"/>
      <c r="J964" s="898"/>
      <c r="K964" s="899"/>
      <c r="L964" s="899"/>
      <c r="M964" s="899"/>
      <c r="N964" s="899"/>
      <c r="O964" s="899"/>
      <c r="P964" s="899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96"/>
      <c r="E965" s="677"/>
      <c r="F965" s="677"/>
      <c r="G965" s="677"/>
      <c r="H965" s="897"/>
      <c r="I965" s="898"/>
      <c r="J965" s="898"/>
      <c r="K965" s="899"/>
      <c r="L965" s="899"/>
      <c r="M965" s="899"/>
      <c r="N965" s="899"/>
      <c r="O965" s="899"/>
      <c r="P965" s="899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96"/>
      <c r="E966" s="677"/>
      <c r="F966" s="677"/>
      <c r="G966" s="677"/>
      <c r="H966" s="897"/>
      <c r="I966" s="898"/>
      <c r="J966" s="898"/>
      <c r="K966" s="899"/>
      <c r="L966" s="899"/>
      <c r="M966" s="899"/>
      <c r="N966" s="899"/>
      <c r="O966" s="899"/>
      <c r="P966" s="899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96"/>
      <c r="E967" s="677"/>
      <c r="F967" s="677"/>
      <c r="G967" s="677"/>
      <c r="H967" s="897"/>
      <c r="I967" s="898"/>
      <c r="J967" s="898"/>
      <c r="K967" s="899"/>
      <c r="L967" s="899"/>
      <c r="M967" s="899"/>
      <c r="N967" s="899"/>
      <c r="O967" s="899"/>
      <c r="P967" s="899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96"/>
      <c r="E968" s="677"/>
      <c r="F968" s="677"/>
      <c r="G968" s="677"/>
      <c r="H968" s="897"/>
      <c r="I968" s="898"/>
      <c r="J968" s="898"/>
      <c r="K968" s="899"/>
      <c r="L968" s="899"/>
      <c r="M968" s="899"/>
      <c r="N968" s="899"/>
      <c r="O968" s="899"/>
      <c r="P968" s="899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96"/>
      <c r="E969" s="677"/>
      <c r="F969" s="677"/>
      <c r="G969" s="677"/>
      <c r="H969" s="897"/>
      <c r="I969" s="898"/>
      <c r="J969" s="898"/>
      <c r="K969" s="899"/>
      <c r="L969" s="899"/>
      <c r="M969" s="899"/>
      <c r="N969" s="899"/>
      <c r="O969" s="899"/>
      <c r="P969" s="899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96"/>
      <c r="E970" s="677"/>
      <c r="F970" s="677"/>
      <c r="G970" s="677"/>
      <c r="H970" s="897"/>
      <c r="I970" s="898"/>
      <c r="J970" s="898"/>
      <c r="K970" s="899"/>
      <c r="L970" s="899"/>
      <c r="M970" s="899"/>
      <c r="N970" s="899"/>
      <c r="O970" s="899"/>
      <c r="P970" s="899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96"/>
      <c r="E971" s="677"/>
      <c r="F971" s="677"/>
      <c r="G971" s="677"/>
      <c r="H971" s="897"/>
      <c r="I971" s="898"/>
      <c r="J971" s="898"/>
      <c r="K971" s="899"/>
      <c r="L971" s="899"/>
      <c r="M971" s="899"/>
      <c r="N971" s="899"/>
      <c r="O971" s="899"/>
      <c r="P971" s="899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96"/>
      <c r="E972" s="677"/>
      <c r="F972" s="677"/>
      <c r="G972" s="677"/>
      <c r="H972" s="897"/>
      <c r="I972" s="898"/>
      <c r="J972" s="898"/>
      <c r="K972" s="899"/>
      <c r="L972" s="899"/>
      <c r="M972" s="899"/>
      <c r="N972" s="899"/>
      <c r="O972" s="899"/>
      <c r="P972" s="899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96"/>
      <c r="E973" s="677"/>
      <c r="F973" s="677"/>
      <c r="G973" s="677"/>
      <c r="H973" s="897"/>
      <c r="I973" s="898"/>
      <c r="J973" s="898"/>
      <c r="K973" s="899"/>
      <c r="L973" s="899"/>
      <c r="M973" s="899"/>
      <c r="N973" s="899"/>
      <c r="O973" s="899"/>
      <c r="P973" s="899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96"/>
      <c r="E974" s="677"/>
      <c r="F974" s="677"/>
      <c r="G974" s="677"/>
      <c r="H974" s="897"/>
      <c r="I974" s="898"/>
      <c r="J974" s="898"/>
      <c r="K974" s="899"/>
      <c r="L974" s="899"/>
      <c r="M974" s="899"/>
      <c r="N974" s="899"/>
      <c r="O974" s="899"/>
      <c r="P974" s="899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96"/>
      <c r="E975" s="677"/>
      <c r="F975" s="677"/>
      <c r="G975" s="677"/>
      <c r="H975" s="897"/>
      <c r="I975" s="898"/>
      <c r="J975" s="898"/>
      <c r="K975" s="899"/>
      <c r="L975" s="899"/>
      <c r="M975" s="899"/>
      <c r="N975" s="899"/>
      <c r="O975" s="899"/>
      <c r="P975" s="899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96"/>
      <c r="E976" s="677"/>
      <c r="F976" s="677"/>
      <c r="G976" s="677"/>
      <c r="H976" s="897"/>
      <c r="I976" s="898"/>
      <c r="J976" s="898"/>
      <c r="K976" s="899"/>
      <c r="L976" s="899"/>
      <c r="M976" s="899"/>
      <c r="N976" s="899"/>
      <c r="O976" s="899"/>
      <c r="P976" s="899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96"/>
      <c r="E977" s="677"/>
      <c r="F977" s="677"/>
      <c r="G977" s="677"/>
      <c r="H977" s="897"/>
      <c r="I977" s="898"/>
      <c r="J977" s="898"/>
      <c r="K977" s="899"/>
      <c r="L977" s="899"/>
      <c r="M977" s="899"/>
      <c r="N977" s="899"/>
      <c r="O977" s="899"/>
      <c r="P977" s="899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96"/>
      <c r="E978" s="677"/>
      <c r="F978" s="677"/>
      <c r="G978" s="677"/>
      <c r="H978" s="897"/>
      <c r="I978" s="898"/>
      <c r="J978" s="898"/>
      <c r="K978" s="899"/>
      <c r="L978" s="899"/>
      <c r="M978" s="899"/>
      <c r="N978" s="899"/>
      <c r="O978" s="899"/>
      <c r="P978" s="899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96"/>
      <c r="E979" s="677"/>
      <c r="F979" s="677"/>
      <c r="G979" s="677"/>
      <c r="H979" s="897"/>
      <c r="I979" s="898"/>
      <c r="J979" s="898"/>
      <c r="K979" s="899"/>
      <c r="L979" s="899"/>
      <c r="M979" s="899"/>
      <c r="N979" s="899"/>
      <c r="O979" s="899"/>
      <c r="P979" s="899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96"/>
      <c r="E980" s="677"/>
      <c r="F980" s="677"/>
      <c r="G980" s="677"/>
      <c r="H980" s="897"/>
      <c r="I980" s="898"/>
      <c r="J980" s="898"/>
      <c r="K980" s="899"/>
      <c r="L980" s="899"/>
      <c r="M980" s="899"/>
      <c r="N980" s="899"/>
      <c r="O980" s="899"/>
      <c r="P980" s="899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96"/>
      <c r="E981" s="677"/>
      <c r="F981" s="677"/>
      <c r="G981" s="677"/>
      <c r="H981" s="897"/>
      <c r="I981" s="898"/>
      <c r="J981" s="898"/>
      <c r="K981" s="899"/>
      <c r="L981" s="899"/>
      <c r="M981" s="899"/>
      <c r="N981" s="899"/>
      <c r="O981" s="899"/>
      <c r="P981" s="899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96"/>
      <c r="E982" s="677"/>
      <c r="F982" s="677"/>
      <c r="G982" s="677"/>
      <c r="H982" s="897"/>
      <c r="I982" s="898"/>
      <c r="J982" s="898"/>
      <c r="K982" s="899"/>
      <c r="L982" s="899"/>
      <c r="M982" s="899"/>
      <c r="N982" s="899"/>
      <c r="O982" s="899"/>
      <c r="P982" s="899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96"/>
      <c r="E983" s="677"/>
      <c r="F983" s="677"/>
      <c r="G983" s="677"/>
      <c r="H983" s="897"/>
      <c r="I983" s="898"/>
      <c r="J983" s="898"/>
      <c r="K983" s="899"/>
      <c r="L983" s="899"/>
      <c r="M983" s="899"/>
      <c r="N983" s="899"/>
      <c r="O983" s="899"/>
      <c r="P983" s="899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96"/>
      <c r="E984" s="677"/>
      <c r="F984" s="677"/>
      <c r="G984" s="677"/>
      <c r="H984" s="897"/>
      <c r="I984" s="898"/>
      <c r="J984" s="898"/>
      <c r="K984" s="899"/>
      <c r="L984" s="899"/>
      <c r="M984" s="899"/>
      <c r="N984" s="899"/>
      <c r="O984" s="899"/>
      <c r="P984" s="899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96"/>
      <c r="E985" s="677"/>
      <c r="F985" s="677"/>
      <c r="G985" s="677"/>
      <c r="H985" s="897"/>
      <c r="I985" s="898"/>
      <c r="J985" s="898"/>
      <c r="K985" s="899"/>
      <c r="L985" s="899"/>
      <c r="M985" s="899"/>
      <c r="N985" s="899"/>
      <c r="O985" s="899"/>
      <c r="P985" s="899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96"/>
      <c r="E986" s="677"/>
      <c r="F986" s="677"/>
      <c r="G986" s="677"/>
      <c r="H986" s="897"/>
      <c r="I986" s="898"/>
      <c r="J986" s="898"/>
      <c r="K986" s="899"/>
      <c r="L986" s="899"/>
      <c r="M986" s="899"/>
      <c r="N986" s="899"/>
      <c r="O986" s="899"/>
      <c r="P986" s="899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96"/>
      <c r="E987" s="677"/>
      <c r="F987" s="677"/>
      <c r="G987" s="677"/>
      <c r="H987" s="897"/>
      <c r="I987" s="898"/>
      <c r="J987" s="898"/>
      <c r="K987" s="899"/>
      <c r="L987" s="899"/>
      <c r="M987" s="899"/>
      <c r="N987" s="899"/>
      <c r="O987" s="899"/>
      <c r="P987" s="899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96"/>
      <c r="E988" s="677"/>
      <c r="F988" s="677"/>
      <c r="G988" s="677"/>
      <c r="H988" s="897"/>
      <c r="I988" s="898"/>
      <c r="J988" s="898"/>
      <c r="K988" s="899"/>
      <c r="L988" s="899"/>
      <c r="M988" s="899"/>
      <c r="N988" s="899"/>
      <c r="O988" s="899"/>
      <c r="P988" s="899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96"/>
      <c r="E989" s="677"/>
      <c r="F989" s="677"/>
      <c r="G989" s="677"/>
      <c r="H989" s="897"/>
      <c r="I989" s="898"/>
      <c r="J989" s="898"/>
      <c r="K989" s="899"/>
      <c r="L989" s="899"/>
      <c r="M989" s="899"/>
      <c r="N989" s="899"/>
      <c r="O989" s="899"/>
      <c r="P989" s="899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96"/>
      <c r="E990" s="677"/>
      <c r="F990" s="677"/>
      <c r="G990" s="677"/>
      <c r="H990" s="897"/>
      <c r="I990" s="898"/>
      <c r="J990" s="898"/>
      <c r="K990" s="899"/>
      <c r="L990" s="899"/>
      <c r="M990" s="899"/>
      <c r="N990" s="899"/>
      <c r="O990" s="899"/>
      <c r="P990" s="899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96"/>
      <c r="E991" s="677"/>
      <c r="F991" s="677"/>
      <c r="G991" s="677"/>
      <c r="H991" s="897"/>
      <c r="I991" s="898"/>
      <c r="J991" s="898"/>
      <c r="K991" s="899"/>
      <c r="L991" s="899"/>
      <c r="M991" s="899"/>
      <c r="N991" s="899"/>
      <c r="O991" s="899"/>
      <c r="P991" s="899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96"/>
      <c r="E992" s="677"/>
      <c r="F992" s="677"/>
      <c r="G992" s="677"/>
      <c r="H992" s="897"/>
      <c r="I992" s="898"/>
      <c r="J992" s="898"/>
      <c r="K992" s="899"/>
      <c r="L992" s="899"/>
      <c r="M992" s="899"/>
      <c r="N992" s="899"/>
      <c r="O992" s="899"/>
      <c r="P992" s="899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96"/>
      <c r="E993" s="677"/>
      <c r="F993" s="677"/>
      <c r="G993" s="677"/>
      <c r="H993" s="897"/>
      <c r="I993" s="898"/>
      <c r="J993" s="898"/>
      <c r="K993" s="899"/>
      <c r="L993" s="899"/>
      <c r="M993" s="899"/>
      <c r="N993" s="899"/>
      <c r="O993" s="899"/>
      <c r="P993" s="899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96"/>
      <c r="E994" s="677"/>
      <c r="F994" s="677"/>
      <c r="G994" s="677"/>
      <c r="H994" s="897"/>
      <c r="I994" s="898"/>
      <c r="J994" s="898"/>
      <c r="K994" s="899"/>
      <c r="L994" s="899"/>
      <c r="M994" s="899"/>
      <c r="N994" s="899"/>
      <c r="O994" s="899"/>
      <c r="P994" s="899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96"/>
      <c r="E995" s="677"/>
      <c r="F995" s="677"/>
      <c r="G995" s="677"/>
      <c r="H995" s="897"/>
      <c r="I995" s="898"/>
      <c r="J995" s="898"/>
      <c r="K995" s="899"/>
      <c r="L995" s="899"/>
      <c r="M995" s="899"/>
      <c r="N995" s="899"/>
      <c r="O995" s="899"/>
      <c r="P995" s="899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96"/>
      <c r="E996" s="677"/>
      <c r="F996" s="677"/>
      <c r="G996" s="677"/>
      <c r="H996" s="897"/>
      <c r="I996" s="898"/>
      <c r="J996" s="898"/>
      <c r="K996" s="899"/>
      <c r="L996" s="899"/>
      <c r="M996" s="899"/>
      <c r="N996" s="899"/>
      <c r="O996" s="899"/>
      <c r="P996" s="899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96"/>
      <c r="E997" s="677"/>
      <c r="F997" s="677"/>
      <c r="G997" s="677"/>
      <c r="H997" s="897"/>
      <c r="I997" s="898"/>
      <c r="J997" s="898"/>
      <c r="K997" s="899"/>
      <c r="L997" s="899"/>
      <c r="M997" s="899"/>
      <c r="N997" s="899"/>
      <c r="O997" s="899"/>
      <c r="P997" s="899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96"/>
      <c r="E998" s="677"/>
      <c r="F998" s="677"/>
      <c r="G998" s="677"/>
      <c r="H998" s="897"/>
      <c r="I998" s="898"/>
      <c r="J998" s="898"/>
      <c r="K998" s="899"/>
      <c r="L998" s="899"/>
      <c r="M998" s="899"/>
      <c r="N998" s="899"/>
      <c r="O998" s="899"/>
      <c r="P998" s="899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96"/>
      <c r="E999" s="677"/>
      <c r="F999" s="677"/>
      <c r="G999" s="677"/>
      <c r="H999" s="897"/>
      <c r="I999" s="898"/>
      <c r="J999" s="898"/>
      <c r="K999" s="899"/>
      <c r="L999" s="899"/>
      <c r="M999" s="899"/>
      <c r="N999" s="899"/>
      <c r="O999" s="899"/>
      <c r="P999" s="899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96"/>
      <c r="E1000" s="677"/>
      <c r="F1000" s="677"/>
      <c r="G1000" s="677"/>
      <c r="H1000" s="897"/>
      <c r="I1000" s="898"/>
      <c r="J1000" s="898"/>
      <c r="K1000" s="899"/>
      <c r="L1000" s="899"/>
      <c r="M1000" s="899"/>
      <c r="N1000" s="899"/>
      <c r="O1000" s="899"/>
      <c r="P1000" s="899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96"/>
      <c r="E1001" s="677"/>
      <c r="F1001" s="677"/>
      <c r="G1001" s="677"/>
      <c r="H1001" s="897"/>
      <c r="I1001" s="898"/>
      <c r="J1001" s="898"/>
      <c r="K1001" s="899"/>
      <c r="L1001" s="899"/>
      <c r="M1001" s="899"/>
      <c r="N1001" s="899"/>
      <c r="O1001" s="899"/>
      <c r="P1001" s="899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96"/>
      <c r="E1002" s="677"/>
      <c r="F1002" s="677"/>
      <c r="G1002" s="677"/>
      <c r="H1002" s="897"/>
      <c r="I1002" s="898"/>
      <c r="J1002" s="898"/>
      <c r="K1002" s="899"/>
      <c r="L1002" s="899"/>
      <c r="M1002" s="899"/>
      <c r="N1002" s="899"/>
      <c r="O1002" s="899"/>
      <c r="P1002" s="899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96"/>
      <c r="E1003" s="677"/>
      <c r="F1003" s="677"/>
      <c r="G1003" s="677"/>
      <c r="H1003" s="897"/>
      <c r="I1003" s="898"/>
      <c r="J1003" s="898"/>
      <c r="K1003" s="899"/>
      <c r="L1003" s="899"/>
      <c r="M1003" s="899"/>
      <c r="N1003" s="899"/>
      <c r="O1003" s="899"/>
      <c r="P1003" s="899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96"/>
      <c r="E1004" s="677"/>
      <c r="F1004" s="677"/>
      <c r="G1004" s="677"/>
      <c r="H1004" s="897"/>
      <c r="I1004" s="898"/>
      <c r="J1004" s="898"/>
      <c r="K1004" s="899"/>
      <c r="L1004" s="899"/>
      <c r="M1004" s="899"/>
      <c r="N1004" s="899"/>
      <c r="O1004" s="899"/>
      <c r="P1004" s="899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96"/>
      <c r="E1005" s="677"/>
      <c r="F1005" s="677"/>
      <c r="G1005" s="677"/>
      <c r="H1005" s="897"/>
      <c r="I1005" s="898"/>
      <c r="J1005" s="898"/>
      <c r="K1005" s="899"/>
      <c r="L1005" s="899"/>
      <c r="M1005" s="899"/>
      <c r="N1005" s="899"/>
      <c r="O1005" s="899"/>
      <c r="P1005" s="899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96"/>
      <c r="E1006" s="677"/>
      <c r="F1006" s="677"/>
      <c r="G1006" s="677"/>
      <c r="H1006" s="897"/>
      <c r="I1006" s="898"/>
      <c r="J1006" s="898"/>
      <c r="K1006" s="899"/>
      <c r="L1006" s="899"/>
      <c r="M1006" s="899"/>
      <c r="N1006" s="899"/>
      <c r="O1006" s="899"/>
      <c r="P1006" s="899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96"/>
      <c r="E1007" s="677"/>
      <c r="F1007" s="677"/>
      <c r="G1007" s="677"/>
      <c r="H1007" s="897"/>
      <c r="I1007" s="898"/>
      <c r="J1007" s="898"/>
      <c r="K1007" s="899"/>
      <c r="L1007" s="899"/>
      <c r="M1007" s="899"/>
      <c r="N1007" s="899"/>
      <c r="O1007" s="899"/>
      <c r="P1007" s="899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96"/>
      <c r="E1008" s="677"/>
      <c r="F1008" s="677"/>
      <c r="G1008" s="677"/>
      <c r="H1008" s="897"/>
      <c r="I1008" s="898"/>
      <c r="J1008" s="898"/>
      <c r="K1008" s="899"/>
      <c r="L1008" s="899"/>
      <c r="M1008" s="899"/>
      <c r="N1008" s="899"/>
      <c r="O1008" s="899"/>
      <c r="P1008" s="899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96"/>
      <c r="E1009" s="677"/>
      <c r="F1009" s="677"/>
      <c r="G1009" s="677"/>
      <c r="H1009" s="897"/>
      <c r="I1009" s="898"/>
      <c r="J1009" s="898"/>
      <c r="K1009" s="899"/>
      <c r="L1009" s="899"/>
      <c r="M1009" s="899"/>
      <c r="N1009" s="899"/>
      <c r="O1009" s="899"/>
      <c r="P1009" s="899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96"/>
      <c r="E1010" s="677"/>
      <c r="F1010" s="677"/>
      <c r="G1010" s="677"/>
      <c r="H1010" s="897"/>
      <c r="I1010" s="898"/>
      <c r="J1010" s="898"/>
      <c r="K1010" s="899"/>
      <c r="L1010" s="899"/>
      <c r="M1010" s="899"/>
      <c r="N1010" s="899"/>
      <c r="O1010" s="899"/>
      <c r="P1010" s="899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96"/>
      <c r="E1011" s="677"/>
      <c r="F1011" s="677"/>
      <c r="G1011" s="677"/>
      <c r="H1011" s="897"/>
      <c r="I1011" s="898"/>
      <c r="J1011" s="898"/>
      <c r="K1011" s="899"/>
      <c r="L1011" s="899"/>
      <c r="M1011" s="899"/>
      <c r="N1011" s="899"/>
      <c r="O1011" s="899"/>
      <c r="P1011" s="899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96"/>
      <c r="E1012" s="677"/>
      <c r="F1012" s="677"/>
      <c r="G1012" s="677"/>
      <c r="H1012" s="897"/>
      <c r="I1012" s="898"/>
      <c r="J1012" s="898"/>
      <c r="K1012" s="899"/>
      <c r="L1012" s="899"/>
      <c r="M1012" s="899"/>
      <c r="N1012" s="899"/>
      <c r="O1012" s="899"/>
      <c r="P1012" s="899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96"/>
      <c r="E1013" s="677"/>
      <c r="F1013" s="677"/>
      <c r="G1013" s="677"/>
      <c r="H1013" s="897"/>
      <c r="I1013" s="898"/>
      <c r="J1013" s="898"/>
      <c r="K1013" s="899"/>
      <c r="L1013" s="899"/>
      <c r="M1013" s="899"/>
      <c r="N1013" s="899"/>
      <c r="O1013" s="899"/>
      <c r="P1013" s="899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96"/>
      <c r="E1014" s="677"/>
      <c r="F1014" s="677"/>
      <c r="G1014" s="677"/>
      <c r="H1014" s="897"/>
      <c r="I1014" s="898"/>
      <c r="J1014" s="898"/>
      <c r="K1014" s="899"/>
      <c r="L1014" s="899"/>
      <c r="M1014" s="899"/>
      <c r="N1014" s="899"/>
      <c r="O1014" s="899"/>
      <c r="P1014" s="899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96"/>
      <c r="E1015" s="677"/>
      <c r="F1015" s="677"/>
      <c r="G1015" s="677"/>
      <c r="H1015" s="897"/>
      <c r="I1015" s="898"/>
      <c r="J1015" s="898"/>
      <c r="K1015" s="899"/>
      <c r="L1015" s="899"/>
      <c r="M1015" s="899"/>
      <c r="N1015" s="899"/>
      <c r="O1015" s="899"/>
      <c r="P1015" s="899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96"/>
      <c r="E1016" s="677"/>
      <c r="F1016" s="677"/>
      <c r="G1016" s="677"/>
      <c r="H1016" s="897"/>
      <c r="I1016" s="898"/>
      <c r="J1016" s="898"/>
      <c r="K1016" s="899"/>
      <c r="L1016" s="899"/>
      <c r="M1016" s="899"/>
      <c r="N1016" s="899"/>
      <c r="O1016" s="899"/>
      <c r="P1016" s="899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96"/>
      <c r="E1017" s="677"/>
      <c r="F1017" s="677"/>
      <c r="G1017" s="677"/>
      <c r="H1017" s="897"/>
      <c r="I1017" s="898"/>
      <c r="J1017" s="898"/>
      <c r="K1017" s="899"/>
      <c r="L1017" s="899"/>
      <c r="M1017" s="899"/>
      <c r="N1017" s="899"/>
      <c r="O1017" s="899"/>
      <c r="P1017" s="899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96"/>
      <c r="E1018" s="677"/>
      <c r="F1018" s="677"/>
      <c r="G1018" s="677"/>
      <c r="H1018" s="897"/>
      <c r="I1018" s="898"/>
      <c r="J1018" s="898"/>
      <c r="K1018" s="899"/>
      <c r="L1018" s="899"/>
      <c r="M1018" s="899"/>
      <c r="N1018" s="899"/>
      <c r="O1018" s="899"/>
      <c r="P1018" s="899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96"/>
      <c r="E1019" s="677"/>
      <c r="F1019" s="677"/>
      <c r="G1019" s="677"/>
      <c r="H1019" s="897"/>
      <c r="I1019" s="898"/>
      <c r="J1019" s="898"/>
      <c r="K1019" s="899"/>
      <c r="L1019" s="899"/>
      <c r="M1019" s="899"/>
      <c r="N1019" s="899"/>
      <c r="O1019" s="899"/>
      <c r="P1019" s="899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96"/>
      <c r="E1020" s="677"/>
      <c r="F1020" s="677"/>
      <c r="G1020" s="677"/>
      <c r="H1020" s="897"/>
      <c r="I1020" s="898"/>
      <c r="J1020" s="898"/>
      <c r="K1020" s="899"/>
      <c r="L1020" s="899"/>
      <c r="M1020" s="899"/>
      <c r="N1020" s="899"/>
      <c r="O1020" s="899"/>
      <c r="P1020" s="899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96"/>
      <c r="E1021" s="677"/>
      <c r="F1021" s="677"/>
      <c r="G1021" s="677"/>
      <c r="H1021" s="897"/>
      <c r="I1021" s="898"/>
      <c r="J1021" s="898"/>
      <c r="K1021" s="899"/>
      <c r="L1021" s="899"/>
      <c r="M1021" s="899"/>
      <c r="N1021" s="899"/>
      <c r="O1021" s="899"/>
      <c r="P1021" s="899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96"/>
      <c r="E1022" s="677"/>
      <c r="F1022" s="677"/>
      <c r="G1022" s="677"/>
      <c r="H1022" s="897"/>
      <c r="I1022" s="898"/>
      <c r="J1022" s="898"/>
      <c r="K1022" s="899"/>
      <c r="L1022" s="899"/>
      <c r="M1022" s="899"/>
      <c r="N1022" s="899"/>
      <c r="O1022" s="899"/>
      <c r="P1022" s="899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96"/>
      <c r="E1023" s="677"/>
      <c r="F1023" s="677"/>
      <c r="G1023" s="677"/>
      <c r="H1023" s="897"/>
      <c r="I1023" s="898"/>
      <c r="J1023" s="898"/>
      <c r="K1023" s="899"/>
      <c r="L1023" s="899"/>
      <c r="M1023" s="899"/>
      <c r="N1023" s="899"/>
      <c r="O1023" s="899"/>
      <c r="P1023" s="899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96"/>
      <c r="E1024" s="677"/>
      <c r="F1024" s="677"/>
      <c r="G1024" s="677"/>
      <c r="H1024" s="897"/>
      <c r="I1024" s="898"/>
      <c r="J1024" s="898"/>
      <c r="K1024" s="899"/>
      <c r="L1024" s="899"/>
      <c r="M1024" s="899"/>
      <c r="N1024" s="899"/>
      <c r="O1024" s="899"/>
      <c r="P1024" s="899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96"/>
      <c r="E1025" s="677"/>
      <c r="F1025" s="677"/>
      <c r="G1025" s="677"/>
      <c r="H1025" s="897"/>
      <c r="I1025" s="898"/>
      <c r="J1025" s="898"/>
      <c r="K1025" s="899"/>
      <c r="L1025" s="899"/>
      <c r="M1025" s="899"/>
      <c r="N1025" s="899"/>
      <c r="O1025" s="899"/>
      <c r="P1025" s="899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96"/>
      <c r="E1026" s="677"/>
      <c r="F1026" s="677"/>
      <c r="G1026" s="677"/>
      <c r="H1026" s="897"/>
      <c r="I1026" s="898"/>
      <c r="J1026" s="898"/>
      <c r="K1026" s="899"/>
      <c r="L1026" s="899"/>
      <c r="M1026" s="899"/>
      <c r="N1026" s="899"/>
      <c r="O1026" s="899"/>
      <c r="P1026" s="899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96"/>
      <c r="E1027" s="677"/>
      <c r="F1027" s="677"/>
      <c r="G1027" s="677"/>
      <c r="H1027" s="897"/>
      <c r="I1027" s="898"/>
      <c r="J1027" s="898"/>
      <c r="K1027" s="899"/>
      <c r="L1027" s="899"/>
      <c r="M1027" s="899"/>
      <c r="N1027" s="899"/>
      <c r="O1027" s="899"/>
      <c r="P1027" s="899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96"/>
      <c r="E1028" s="677"/>
      <c r="F1028" s="677"/>
      <c r="G1028" s="677"/>
      <c r="H1028" s="897"/>
      <c r="I1028" s="898"/>
      <c r="J1028" s="898"/>
      <c r="K1028" s="899"/>
      <c r="L1028" s="899"/>
      <c r="M1028" s="899"/>
      <c r="N1028" s="899"/>
      <c r="O1028" s="899"/>
      <c r="P1028" s="899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96"/>
      <c r="E1029" s="677"/>
      <c r="F1029" s="677"/>
      <c r="G1029" s="677"/>
      <c r="H1029" s="897"/>
      <c r="I1029" s="898"/>
      <c r="J1029" s="898"/>
      <c r="K1029" s="899"/>
      <c r="L1029" s="899"/>
      <c r="M1029" s="899"/>
      <c r="N1029" s="899"/>
      <c r="O1029" s="899"/>
      <c r="P1029" s="899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96"/>
      <c r="E1030" s="677"/>
      <c r="F1030" s="677"/>
      <c r="G1030" s="677"/>
      <c r="H1030" s="897"/>
      <c r="I1030" s="898"/>
      <c r="J1030" s="898"/>
      <c r="K1030" s="899"/>
      <c r="L1030" s="899"/>
      <c r="M1030" s="899"/>
      <c r="N1030" s="899"/>
      <c r="O1030" s="899"/>
      <c r="P1030" s="899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96"/>
      <c r="E1031" s="677"/>
      <c r="F1031" s="677"/>
      <c r="G1031" s="677"/>
      <c r="H1031" s="897"/>
      <c r="I1031" s="898"/>
      <c r="J1031" s="898"/>
      <c r="K1031" s="899"/>
      <c r="L1031" s="899"/>
      <c r="M1031" s="899"/>
      <c r="N1031" s="899"/>
      <c r="O1031" s="899"/>
      <c r="P1031" s="899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96"/>
      <c r="E1032" s="677"/>
      <c r="F1032" s="677"/>
      <c r="G1032" s="677"/>
      <c r="H1032" s="897"/>
      <c r="I1032" s="898"/>
      <c r="J1032" s="898"/>
      <c r="K1032" s="899"/>
      <c r="L1032" s="899"/>
      <c r="M1032" s="899"/>
      <c r="N1032" s="899"/>
      <c r="O1032" s="899"/>
      <c r="P1032" s="899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96"/>
      <c r="E1033" s="677"/>
      <c r="F1033" s="677"/>
      <c r="G1033" s="677"/>
      <c r="H1033" s="897"/>
      <c r="I1033" s="898"/>
      <c r="J1033" s="898"/>
      <c r="K1033" s="899"/>
      <c r="L1033" s="899"/>
      <c r="M1033" s="899"/>
      <c r="N1033" s="899"/>
      <c r="O1033" s="899"/>
      <c r="P1033" s="899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96"/>
      <c r="E1034" s="677"/>
      <c r="F1034" s="677"/>
      <c r="G1034" s="677"/>
      <c r="H1034" s="897"/>
      <c r="I1034" s="898"/>
      <c r="J1034" s="898"/>
      <c r="K1034" s="899"/>
      <c r="L1034" s="899"/>
      <c r="M1034" s="899"/>
      <c r="N1034" s="899"/>
      <c r="O1034" s="899"/>
      <c r="P1034" s="899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96"/>
      <c r="E1035" s="677"/>
      <c r="F1035" s="677"/>
      <c r="G1035" s="677"/>
      <c r="H1035" s="897"/>
      <c r="I1035" s="898"/>
      <c r="J1035" s="898"/>
      <c r="K1035" s="899"/>
      <c r="L1035" s="899"/>
      <c r="M1035" s="899"/>
      <c r="N1035" s="899"/>
      <c r="O1035" s="899"/>
      <c r="P1035" s="899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96"/>
      <c r="E1036" s="677"/>
      <c r="F1036" s="677"/>
      <c r="G1036" s="677"/>
      <c r="H1036" s="897"/>
      <c r="I1036" s="898"/>
      <c r="J1036" s="898"/>
      <c r="K1036" s="899"/>
      <c r="L1036" s="899"/>
      <c r="M1036" s="899"/>
      <c r="N1036" s="899"/>
      <c r="O1036" s="899"/>
      <c r="P1036" s="899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96"/>
      <c r="E1037" s="677"/>
      <c r="F1037" s="677"/>
      <c r="G1037" s="677"/>
      <c r="H1037" s="897"/>
      <c r="I1037" s="898"/>
      <c r="J1037" s="898"/>
      <c r="K1037" s="899"/>
      <c r="L1037" s="899"/>
      <c r="M1037" s="899"/>
      <c r="N1037" s="899"/>
      <c r="O1037" s="899"/>
      <c r="P1037" s="899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96"/>
      <c r="E1038" s="677"/>
      <c r="F1038" s="677"/>
      <c r="G1038" s="677"/>
      <c r="H1038" s="897"/>
      <c r="I1038" s="898"/>
      <c r="J1038" s="898"/>
      <c r="K1038" s="899"/>
      <c r="L1038" s="899"/>
      <c r="M1038" s="899"/>
      <c r="N1038" s="899"/>
      <c r="O1038" s="899"/>
      <c r="P1038" s="899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96"/>
      <c r="E1039" s="677"/>
      <c r="F1039" s="677"/>
      <c r="G1039" s="677"/>
      <c r="H1039" s="897"/>
      <c r="I1039" s="898"/>
      <c r="J1039" s="898"/>
      <c r="K1039" s="899"/>
      <c r="L1039" s="899"/>
      <c r="M1039" s="899"/>
      <c r="N1039" s="899"/>
      <c r="O1039" s="899"/>
      <c r="P1039" s="899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96"/>
      <c r="E1040" s="677"/>
      <c r="F1040" s="677"/>
      <c r="G1040" s="677"/>
      <c r="H1040" s="897"/>
      <c r="I1040" s="898"/>
      <c r="J1040" s="898"/>
      <c r="K1040" s="899"/>
      <c r="L1040" s="899"/>
      <c r="M1040" s="899"/>
      <c r="N1040" s="899"/>
      <c r="O1040" s="899"/>
      <c r="P1040" s="899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96"/>
      <c r="E1041" s="677"/>
      <c r="F1041" s="677"/>
      <c r="G1041" s="677"/>
      <c r="H1041" s="897"/>
      <c r="I1041" s="898"/>
      <c r="J1041" s="898"/>
      <c r="K1041" s="899"/>
      <c r="L1041" s="899"/>
      <c r="M1041" s="899"/>
      <c r="N1041" s="899"/>
      <c r="O1041" s="899"/>
      <c r="P1041" s="899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96"/>
      <c r="E1042" s="677"/>
      <c r="F1042" s="677"/>
      <c r="G1042" s="677"/>
      <c r="H1042" s="897"/>
      <c r="I1042" s="898"/>
      <c r="J1042" s="898"/>
      <c r="K1042" s="899"/>
      <c r="L1042" s="899"/>
      <c r="M1042" s="899"/>
      <c r="N1042" s="899"/>
      <c r="O1042" s="899"/>
      <c r="P1042" s="899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96"/>
      <c r="E1043" s="677"/>
      <c r="F1043" s="677"/>
      <c r="G1043" s="677"/>
      <c r="H1043" s="897"/>
      <c r="I1043" s="898"/>
      <c r="J1043" s="898"/>
      <c r="K1043" s="899"/>
      <c r="L1043" s="899"/>
      <c r="M1043" s="899"/>
      <c r="N1043" s="899"/>
      <c r="O1043" s="899"/>
      <c r="P1043" s="899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96"/>
      <c r="E1044" s="677"/>
      <c r="F1044" s="677"/>
      <c r="G1044" s="677"/>
      <c r="H1044" s="897"/>
      <c r="I1044" s="898"/>
      <c r="J1044" s="898"/>
      <c r="K1044" s="899"/>
      <c r="L1044" s="899"/>
      <c r="M1044" s="899"/>
      <c r="N1044" s="899"/>
      <c r="O1044" s="899"/>
      <c r="P1044" s="899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96"/>
      <c r="E1045" s="677"/>
      <c r="F1045" s="677"/>
      <c r="G1045" s="677"/>
      <c r="H1045" s="897"/>
      <c r="I1045" s="898"/>
      <c r="J1045" s="898"/>
      <c r="K1045" s="899"/>
      <c r="L1045" s="899"/>
      <c r="M1045" s="899"/>
      <c r="N1045" s="899"/>
      <c r="O1045" s="899"/>
      <c r="P1045" s="899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96"/>
      <c r="E1046" s="677"/>
      <c r="F1046" s="677"/>
      <c r="G1046" s="677"/>
      <c r="H1046" s="897"/>
      <c r="I1046" s="898"/>
      <c r="J1046" s="898"/>
      <c r="K1046" s="899"/>
      <c r="L1046" s="899"/>
      <c r="M1046" s="899"/>
      <c r="N1046" s="899"/>
      <c r="O1046" s="899"/>
      <c r="P1046" s="899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96"/>
      <c r="E1047" s="677"/>
      <c r="F1047" s="677"/>
      <c r="G1047" s="677"/>
      <c r="H1047" s="897"/>
      <c r="I1047" s="898"/>
      <c r="J1047" s="898"/>
      <c r="K1047" s="899"/>
      <c r="L1047" s="899"/>
      <c r="M1047" s="899"/>
      <c r="N1047" s="899"/>
      <c r="O1047" s="899"/>
      <c r="P1047" s="899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96"/>
      <c r="E1048" s="677"/>
      <c r="F1048" s="677"/>
      <c r="G1048" s="677"/>
      <c r="H1048" s="897"/>
      <c r="I1048" s="898"/>
      <c r="J1048" s="898"/>
      <c r="K1048" s="899"/>
      <c r="L1048" s="899"/>
      <c r="M1048" s="899"/>
      <c r="N1048" s="899"/>
      <c r="O1048" s="899"/>
      <c r="P1048" s="899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96"/>
      <c r="E1049" s="677"/>
      <c r="F1049" s="677"/>
      <c r="G1049" s="677"/>
      <c r="H1049" s="897"/>
      <c r="I1049" s="898"/>
      <c r="J1049" s="898"/>
      <c r="K1049" s="899"/>
      <c r="L1049" s="899"/>
      <c r="M1049" s="899"/>
      <c r="N1049" s="899"/>
      <c r="O1049" s="899"/>
      <c r="P1049" s="899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96"/>
      <c r="E1050" s="677"/>
      <c r="F1050" s="677"/>
      <c r="G1050" s="677"/>
      <c r="H1050" s="897"/>
      <c r="I1050" s="898"/>
      <c r="J1050" s="898"/>
      <c r="K1050" s="899"/>
      <c r="L1050" s="899"/>
      <c r="M1050" s="899"/>
      <c r="N1050" s="899"/>
      <c r="O1050" s="899"/>
      <c r="P1050" s="899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96"/>
      <c r="E1051" s="677"/>
      <c r="F1051" s="677"/>
      <c r="G1051" s="677"/>
      <c r="H1051" s="897"/>
      <c r="I1051" s="898"/>
      <c r="J1051" s="898"/>
      <c r="K1051" s="899"/>
      <c r="L1051" s="899"/>
      <c r="M1051" s="899"/>
      <c r="N1051" s="899"/>
      <c r="O1051" s="899"/>
      <c r="P1051" s="899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96"/>
      <c r="E1052" s="677"/>
      <c r="F1052" s="677"/>
      <c r="G1052" s="677"/>
      <c r="H1052" s="897"/>
      <c r="I1052" s="898"/>
      <c r="J1052" s="898"/>
      <c r="K1052" s="899"/>
      <c r="L1052" s="899"/>
      <c r="M1052" s="899"/>
      <c r="N1052" s="899"/>
      <c r="O1052" s="899"/>
      <c r="P1052" s="899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96"/>
      <c r="E1053" s="677"/>
      <c r="F1053" s="677"/>
      <c r="G1053" s="677"/>
      <c r="H1053" s="897"/>
      <c r="I1053" s="898"/>
      <c r="J1053" s="898"/>
      <c r="K1053" s="899"/>
      <c r="L1053" s="899"/>
      <c r="M1053" s="899"/>
      <c r="N1053" s="899"/>
      <c r="O1053" s="899"/>
      <c r="P1053" s="899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96"/>
      <c r="E1054" s="677"/>
      <c r="F1054" s="677"/>
      <c r="G1054" s="677"/>
      <c r="H1054" s="897"/>
      <c r="I1054" s="898"/>
      <c r="J1054" s="898"/>
      <c r="K1054" s="899"/>
      <c r="L1054" s="899"/>
      <c r="M1054" s="899"/>
      <c r="N1054" s="899"/>
      <c r="O1054" s="899"/>
      <c r="P1054" s="899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96"/>
      <c r="E1055" s="677"/>
      <c r="F1055" s="677"/>
      <c r="G1055" s="677"/>
      <c r="H1055" s="897"/>
      <c r="I1055" s="898"/>
      <c r="J1055" s="898"/>
      <c r="K1055" s="899"/>
      <c r="L1055" s="899"/>
      <c r="M1055" s="899"/>
      <c r="N1055" s="899"/>
      <c r="O1055" s="899"/>
      <c r="P1055" s="899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96"/>
      <c r="E1056" s="677"/>
      <c r="F1056" s="677"/>
      <c r="G1056" s="677"/>
      <c r="H1056" s="897"/>
      <c r="I1056" s="898"/>
      <c r="J1056" s="898"/>
      <c r="K1056" s="899"/>
      <c r="L1056" s="899"/>
      <c r="M1056" s="899"/>
      <c r="N1056" s="899"/>
      <c r="O1056" s="899"/>
      <c r="P1056" s="899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96"/>
      <c r="E1057" s="677"/>
      <c r="F1057" s="677"/>
      <c r="G1057" s="677"/>
      <c r="H1057" s="897"/>
      <c r="I1057" s="898"/>
      <c r="J1057" s="898"/>
      <c r="K1057" s="899"/>
      <c r="L1057" s="899"/>
      <c r="M1057" s="899"/>
      <c r="N1057" s="899"/>
      <c r="O1057" s="899"/>
      <c r="P1057" s="899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96"/>
      <c r="E1058" s="677"/>
      <c r="F1058" s="677"/>
      <c r="G1058" s="677"/>
      <c r="H1058" s="897"/>
      <c r="I1058" s="898"/>
      <c r="J1058" s="898"/>
      <c r="K1058" s="899"/>
      <c r="L1058" s="899"/>
      <c r="M1058" s="899"/>
      <c r="N1058" s="899"/>
      <c r="O1058" s="899"/>
      <c r="P1058" s="899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96"/>
      <c r="E1059" s="677"/>
      <c r="F1059" s="677"/>
      <c r="G1059" s="677"/>
      <c r="H1059" s="897"/>
      <c r="I1059" s="898"/>
      <c r="J1059" s="898"/>
      <c r="K1059" s="899"/>
      <c r="L1059" s="899"/>
      <c r="M1059" s="899"/>
      <c r="N1059" s="899"/>
      <c r="O1059" s="899"/>
      <c r="P1059" s="899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96"/>
      <c r="E1060" s="677"/>
      <c r="F1060" s="677"/>
      <c r="G1060" s="677"/>
      <c r="H1060" s="897"/>
      <c r="I1060" s="898"/>
      <c r="J1060" s="898"/>
      <c r="K1060" s="899"/>
      <c r="L1060" s="899"/>
      <c r="M1060" s="899"/>
      <c r="N1060" s="899"/>
      <c r="O1060" s="899"/>
      <c r="P1060" s="899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96"/>
      <c r="E1061" s="677"/>
      <c r="F1061" s="677"/>
      <c r="G1061" s="677"/>
      <c r="H1061" s="897"/>
      <c r="I1061" s="898"/>
      <c r="J1061" s="898"/>
      <c r="K1061" s="899"/>
      <c r="L1061" s="899"/>
      <c r="M1061" s="899"/>
      <c r="N1061" s="899"/>
      <c r="O1061" s="899"/>
      <c r="P1061" s="899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96"/>
      <c r="E1062" s="677"/>
      <c r="F1062" s="677"/>
      <c r="G1062" s="677"/>
      <c r="H1062" s="897"/>
      <c r="I1062" s="898"/>
      <c r="J1062" s="898"/>
      <c r="K1062" s="899"/>
      <c r="L1062" s="899"/>
      <c r="M1062" s="899"/>
      <c r="N1062" s="899"/>
      <c r="O1062" s="899"/>
      <c r="P1062" s="899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96"/>
      <c r="E1063" s="677"/>
      <c r="F1063" s="677"/>
      <c r="G1063" s="677"/>
      <c r="H1063" s="897"/>
      <c r="I1063" s="898"/>
      <c r="J1063" s="898"/>
      <c r="K1063" s="899"/>
      <c r="L1063" s="899"/>
      <c r="M1063" s="899"/>
      <c r="N1063" s="899"/>
      <c r="O1063" s="899"/>
      <c r="P1063" s="899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96"/>
      <c r="E1064" s="677"/>
      <c r="F1064" s="677"/>
      <c r="G1064" s="677"/>
      <c r="H1064" s="897"/>
      <c r="I1064" s="898"/>
      <c r="J1064" s="898"/>
      <c r="K1064" s="899"/>
      <c r="L1064" s="899"/>
      <c r="M1064" s="899"/>
      <c r="N1064" s="899"/>
      <c r="O1064" s="899"/>
      <c r="P1064" s="899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96"/>
      <c r="E1065" s="677"/>
      <c r="F1065" s="677"/>
      <c r="G1065" s="677"/>
      <c r="H1065" s="897"/>
      <c r="I1065" s="898"/>
      <c r="J1065" s="898"/>
      <c r="K1065" s="899"/>
      <c r="L1065" s="899"/>
      <c r="M1065" s="899"/>
      <c r="N1065" s="899"/>
      <c r="O1065" s="899"/>
      <c r="P1065" s="899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96"/>
      <c r="E1066" s="677"/>
      <c r="F1066" s="677"/>
      <c r="G1066" s="677"/>
      <c r="H1066" s="897"/>
      <c r="I1066" s="898"/>
      <c r="J1066" s="898"/>
      <c r="K1066" s="899"/>
      <c r="L1066" s="899"/>
      <c r="M1066" s="899"/>
      <c r="N1066" s="899"/>
      <c r="O1066" s="899"/>
      <c r="P1066" s="899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96"/>
      <c r="E1067" s="677"/>
      <c r="F1067" s="677"/>
      <c r="G1067" s="677"/>
      <c r="H1067" s="897"/>
      <c r="I1067" s="898"/>
      <c r="J1067" s="898"/>
      <c r="K1067" s="899"/>
      <c r="L1067" s="899"/>
      <c r="M1067" s="899"/>
      <c r="N1067" s="899"/>
      <c r="O1067" s="899"/>
      <c r="P1067" s="899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96"/>
      <c r="E1068" s="677"/>
      <c r="F1068" s="677"/>
      <c r="G1068" s="677"/>
      <c r="H1068" s="897"/>
      <c r="I1068" s="898"/>
      <c r="J1068" s="898"/>
      <c r="K1068" s="899"/>
      <c r="L1068" s="899"/>
      <c r="M1068" s="899"/>
      <c r="N1068" s="899"/>
      <c r="O1068" s="899"/>
      <c r="P1068" s="899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96"/>
      <c r="E1069" s="677"/>
      <c r="F1069" s="677"/>
      <c r="G1069" s="677"/>
      <c r="H1069" s="897"/>
      <c r="I1069" s="898"/>
      <c r="J1069" s="898"/>
      <c r="K1069" s="899"/>
      <c r="L1069" s="899"/>
      <c r="M1069" s="899"/>
      <c r="N1069" s="899"/>
      <c r="O1069" s="899"/>
      <c r="P1069" s="899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96"/>
      <c r="E1070" s="677"/>
      <c r="F1070" s="677"/>
      <c r="G1070" s="677"/>
      <c r="H1070" s="897"/>
      <c r="I1070" s="898"/>
      <c r="J1070" s="898"/>
      <c r="K1070" s="899"/>
      <c r="L1070" s="899"/>
      <c r="M1070" s="899"/>
      <c r="N1070" s="899"/>
      <c r="O1070" s="899"/>
      <c r="P1070" s="899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96"/>
      <c r="E1071" s="677"/>
      <c r="F1071" s="677"/>
      <c r="G1071" s="677"/>
      <c r="H1071" s="897"/>
      <c r="I1071" s="898"/>
      <c r="J1071" s="898"/>
      <c r="K1071" s="899"/>
      <c r="L1071" s="899"/>
      <c r="M1071" s="899"/>
      <c r="N1071" s="899"/>
      <c r="O1071" s="899"/>
      <c r="P1071" s="899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96"/>
      <c r="E1072" s="677"/>
      <c r="F1072" s="677"/>
      <c r="G1072" s="677"/>
      <c r="H1072" s="897"/>
      <c r="I1072" s="898"/>
      <c r="J1072" s="898"/>
      <c r="K1072" s="899"/>
      <c r="L1072" s="899"/>
      <c r="M1072" s="899"/>
      <c r="N1072" s="899"/>
      <c r="O1072" s="899"/>
      <c r="P1072" s="899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96"/>
      <c r="E1073" s="677"/>
      <c r="F1073" s="677"/>
      <c r="G1073" s="677"/>
      <c r="H1073" s="897"/>
      <c r="I1073" s="898"/>
      <c r="J1073" s="898"/>
      <c r="K1073" s="899"/>
      <c r="L1073" s="899"/>
      <c r="M1073" s="899"/>
      <c r="N1073" s="899"/>
      <c r="O1073" s="899"/>
      <c r="P1073" s="899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96"/>
      <c r="E1074" s="677"/>
      <c r="F1074" s="677"/>
      <c r="G1074" s="677"/>
      <c r="H1074" s="897"/>
      <c r="I1074" s="898"/>
      <c r="J1074" s="898"/>
      <c r="K1074" s="899"/>
      <c r="L1074" s="899"/>
      <c r="M1074" s="899"/>
      <c r="N1074" s="899"/>
      <c r="O1074" s="899"/>
      <c r="P1074" s="899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96"/>
      <c r="E1075" s="677"/>
      <c r="F1075" s="677"/>
      <c r="G1075" s="677"/>
      <c r="H1075" s="897"/>
      <c r="I1075" s="898"/>
      <c r="J1075" s="898"/>
      <c r="K1075" s="899"/>
      <c r="L1075" s="899"/>
      <c r="M1075" s="899"/>
      <c r="N1075" s="899"/>
      <c r="O1075" s="899"/>
      <c r="P1075" s="899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96"/>
      <c r="E1076" s="677"/>
      <c r="F1076" s="677"/>
      <c r="G1076" s="677"/>
      <c r="H1076" s="897"/>
      <c r="I1076" s="898"/>
      <c r="J1076" s="898"/>
      <c r="K1076" s="899"/>
      <c r="L1076" s="899"/>
      <c r="M1076" s="899"/>
      <c r="N1076" s="899"/>
      <c r="O1076" s="899"/>
      <c r="P1076" s="899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96"/>
      <c r="E1077" s="677"/>
      <c r="F1077" s="677"/>
      <c r="G1077" s="677"/>
      <c r="H1077" s="897"/>
      <c r="I1077" s="898"/>
      <c r="J1077" s="898"/>
      <c r="K1077" s="899"/>
      <c r="L1077" s="899"/>
      <c r="M1077" s="899"/>
      <c r="N1077" s="899"/>
      <c r="O1077" s="899"/>
      <c r="P1077" s="899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96"/>
      <c r="E1078" s="677"/>
      <c r="F1078" s="677"/>
      <c r="G1078" s="677"/>
      <c r="H1078" s="897"/>
      <c r="I1078" s="898"/>
      <c r="J1078" s="898"/>
      <c r="K1078" s="899"/>
      <c r="L1078" s="899"/>
      <c r="M1078" s="899"/>
      <c r="N1078" s="899"/>
      <c r="O1078" s="899"/>
      <c r="P1078" s="899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96"/>
      <c r="E1079" s="677"/>
      <c r="F1079" s="677"/>
      <c r="G1079" s="677"/>
      <c r="H1079" s="897"/>
      <c r="I1079" s="898"/>
      <c r="J1079" s="898"/>
      <c r="K1079" s="899"/>
      <c r="L1079" s="899"/>
      <c r="M1079" s="899"/>
      <c r="N1079" s="899"/>
      <c r="O1079" s="899"/>
      <c r="P1079" s="899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96"/>
      <c r="E1080" s="677"/>
      <c r="F1080" s="677"/>
      <c r="G1080" s="677"/>
      <c r="H1080" s="897"/>
      <c r="I1080" s="898"/>
      <c r="J1080" s="898"/>
      <c r="K1080" s="899"/>
      <c r="L1080" s="899"/>
      <c r="M1080" s="899"/>
      <c r="N1080" s="899"/>
      <c r="O1080" s="899"/>
      <c r="P1080" s="899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96"/>
      <c r="E1081" s="677"/>
      <c r="F1081" s="677"/>
      <c r="G1081" s="677"/>
      <c r="H1081" s="897"/>
      <c r="I1081" s="898"/>
      <c r="J1081" s="898"/>
      <c r="K1081" s="899"/>
      <c r="L1081" s="899"/>
      <c r="M1081" s="899"/>
      <c r="N1081" s="899"/>
      <c r="O1081" s="899"/>
      <c r="P1081" s="899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96"/>
      <c r="E1082" s="677"/>
      <c r="F1082" s="677"/>
      <c r="G1082" s="677"/>
      <c r="H1082" s="897"/>
      <c r="I1082" s="898"/>
      <c r="J1082" s="898"/>
      <c r="K1082" s="899"/>
      <c r="L1082" s="899"/>
      <c r="M1082" s="899"/>
      <c r="N1082" s="899"/>
      <c r="O1082" s="899"/>
      <c r="P1082" s="899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96"/>
      <c r="E1083" s="677"/>
      <c r="F1083" s="677"/>
      <c r="G1083" s="677"/>
      <c r="H1083" s="897"/>
      <c r="I1083" s="898"/>
      <c r="J1083" s="898"/>
      <c r="K1083" s="899"/>
      <c r="L1083" s="899"/>
      <c r="M1083" s="899"/>
      <c r="N1083" s="899"/>
      <c r="O1083" s="899"/>
      <c r="P1083" s="899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96"/>
      <c r="E1084" s="677"/>
      <c r="F1084" s="677"/>
      <c r="G1084" s="677"/>
      <c r="H1084" s="897"/>
      <c r="I1084" s="898"/>
      <c r="J1084" s="898"/>
      <c r="K1084" s="899"/>
      <c r="L1084" s="899"/>
      <c r="M1084" s="899"/>
      <c r="N1084" s="899"/>
      <c r="O1084" s="899"/>
      <c r="P1084" s="899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96"/>
      <c r="E1085" s="677"/>
      <c r="F1085" s="677"/>
      <c r="G1085" s="677"/>
      <c r="H1085" s="897"/>
      <c r="I1085" s="898"/>
      <c r="J1085" s="898"/>
      <c r="K1085" s="899"/>
      <c r="L1085" s="899"/>
      <c r="M1085" s="899"/>
      <c r="N1085" s="899"/>
      <c r="O1085" s="899"/>
      <c r="P1085" s="899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96"/>
      <c r="E1086" s="677"/>
      <c r="F1086" s="677"/>
      <c r="G1086" s="677"/>
      <c r="H1086" s="897"/>
      <c r="I1086" s="898"/>
      <c r="J1086" s="898"/>
      <c r="K1086" s="899"/>
      <c r="L1086" s="899"/>
      <c r="M1086" s="899"/>
      <c r="N1086" s="899"/>
      <c r="O1086" s="899"/>
      <c r="P1086" s="899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96"/>
      <c r="E1087" s="677"/>
      <c r="F1087" s="677"/>
      <c r="G1087" s="677"/>
      <c r="H1087" s="897"/>
      <c r="I1087" s="898"/>
      <c r="J1087" s="898"/>
      <c r="K1087" s="899"/>
      <c r="L1087" s="899"/>
      <c r="M1087" s="899"/>
      <c r="N1087" s="899"/>
      <c r="O1087" s="899"/>
      <c r="P1087" s="899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96"/>
      <c r="E1088" s="677"/>
      <c r="F1088" s="677"/>
      <c r="G1088" s="677"/>
      <c r="H1088" s="897"/>
      <c r="I1088" s="898"/>
      <c r="J1088" s="898"/>
      <c r="K1088" s="899"/>
      <c r="L1088" s="899"/>
      <c r="M1088" s="899"/>
      <c r="N1088" s="899"/>
      <c r="O1088" s="899"/>
      <c r="P1088" s="899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96"/>
      <c r="E1089" s="677"/>
      <c r="F1089" s="677"/>
      <c r="G1089" s="677"/>
      <c r="H1089" s="897"/>
      <c r="I1089" s="898"/>
      <c r="J1089" s="898"/>
      <c r="K1089" s="899"/>
      <c r="L1089" s="899"/>
      <c r="M1089" s="899"/>
      <c r="N1089" s="899"/>
      <c r="O1089" s="899"/>
      <c r="P1089" s="899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96"/>
      <c r="E1090" s="677"/>
      <c r="F1090" s="677"/>
      <c r="G1090" s="677"/>
      <c r="H1090" s="897"/>
      <c r="I1090" s="898"/>
      <c r="J1090" s="898"/>
      <c r="K1090" s="899"/>
      <c r="L1090" s="899"/>
      <c r="M1090" s="899"/>
      <c r="N1090" s="899"/>
      <c r="O1090" s="899"/>
      <c r="P1090" s="899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96"/>
      <c r="E1091" s="677"/>
      <c r="F1091" s="677"/>
      <c r="G1091" s="677"/>
      <c r="H1091" s="897"/>
      <c r="I1091" s="898"/>
      <c r="J1091" s="898"/>
      <c r="K1091" s="899"/>
      <c r="L1091" s="899"/>
      <c r="M1091" s="899"/>
      <c r="N1091" s="899"/>
      <c r="O1091" s="899"/>
      <c r="P1091" s="899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96"/>
      <c r="E1092" s="677"/>
      <c r="F1092" s="677"/>
      <c r="G1092" s="677"/>
      <c r="H1092" s="897"/>
      <c r="I1092" s="898"/>
      <c r="J1092" s="898"/>
      <c r="K1092" s="899"/>
      <c r="L1092" s="899"/>
      <c r="M1092" s="899"/>
      <c r="N1092" s="899"/>
      <c r="O1092" s="899"/>
      <c r="P1092" s="899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96"/>
      <c r="E1093" s="677"/>
      <c r="F1093" s="677"/>
      <c r="G1093" s="677"/>
      <c r="H1093" s="897"/>
      <c r="I1093" s="898"/>
      <c r="J1093" s="898"/>
      <c r="K1093" s="899"/>
      <c r="L1093" s="899"/>
      <c r="M1093" s="899"/>
      <c r="N1093" s="899"/>
      <c r="O1093" s="899"/>
      <c r="P1093" s="899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96"/>
      <c r="E1094" s="677"/>
      <c r="F1094" s="677"/>
      <c r="G1094" s="677"/>
      <c r="H1094" s="897"/>
      <c r="I1094" s="898"/>
      <c r="J1094" s="898"/>
      <c r="K1094" s="899"/>
      <c r="L1094" s="899"/>
      <c r="M1094" s="899"/>
      <c r="N1094" s="899"/>
      <c r="O1094" s="899"/>
      <c r="P1094" s="899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96"/>
      <c r="E1095" s="677"/>
      <c r="F1095" s="677"/>
      <c r="G1095" s="677"/>
      <c r="H1095" s="897"/>
      <c r="I1095" s="898"/>
      <c r="J1095" s="898"/>
      <c r="K1095" s="899"/>
      <c r="L1095" s="899"/>
      <c r="M1095" s="899"/>
      <c r="N1095" s="899"/>
      <c r="O1095" s="899"/>
      <c r="P1095" s="899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96"/>
      <c r="E1096" s="677"/>
      <c r="F1096" s="677"/>
      <c r="G1096" s="677"/>
      <c r="H1096" s="897"/>
      <c r="I1096" s="898"/>
      <c r="J1096" s="898"/>
      <c r="K1096" s="899"/>
      <c r="L1096" s="899"/>
      <c r="M1096" s="899"/>
      <c r="N1096" s="899"/>
      <c r="O1096" s="899"/>
      <c r="P1096" s="899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96"/>
      <c r="E1097" s="677"/>
      <c r="F1097" s="677"/>
      <c r="G1097" s="677"/>
      <c r="H1097" s="897"/>
      <c r="I1097" s="898"/>
      <c r="J1097" s="898"/>
      <c r="K1097" s="899"/>
      <c r="L1097" s="899"/>
      <c r="M1097" s="899"/>
      <c r="N1097" s="899"/>
      <c r="O1097" s="899"/>
      <c r="P1097" s="899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96"/>
      <c r="E1098" s="677"/>
      <c r="F1098" s="677"/>
      <c r="G1098" s="677"/>
      <c r="H1098" s="897"/>
      <c r="I1098" s="898"/>
      <c r="J1098" s="898"/>
      <c r="K1098" s="899"/>
      <c r="L1098" s="899"/>
      <c r="M1098" s="899"/>
      <c r="N1098" s="899"/>
      <c r="O1098" s="899"/>
      <c r="P1098" s="899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96"/>
      <c r="E1099" s="677"/>
      <c r="F1099" s="677"/>
      <c r="G1099" s="677"/>
      <c r="H1099" s="897"/>
      <c r="I1099" s="898"/>
      <c r="J1099" s="898"/>
      <c r="K1099" s="899"/>
      <c r="L1099" s="899"/>
      <c r="M1099" s="899"/>
      <c r="N1099" s="899"/>
      <c r="O1099" s="899"/>
      <c r="P1099" s="899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96"/>
      <c r="E1100" s="677"/>
      <c r="F1100" s="677"/>
      <c r="G1100" s="677"/>
      <c r="H1100" s="897"/>
      <c r="I1100" s="898"/>
      <c r="J1100" s="898"/>
      <c r="K1100" s="899"/>
      <c r="L1100" s="899"/>
      <c r="M1100" s="899"/>
      <c r="N1100" s="899"/>
      <c r="O1100" s="899"/>
      <c r="P1100" s="899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96"/>
      <c r="E1101" s="677"/>
      <c r="F1101" s="677"/>
      <c r="G1101" s="677"/>
      <c r="H1101" s="897"/>
      <c r="I1101" s="898"/>
      <c r="J1101" s="898"/>
      <c r="K1101" s="899"/>
      <c r="L1101" s="899"/>
      <c r="M1101" s="899"/>
      <c r="N1101" s="899"/>
      <c r="O1101" s="899"/>
      <c r="P1101" s="899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96"/>
      <c r="E1102" s="677"/>
      <c r="F1102" s="677"/>
      <c r="G1102" s="677"/>
      <c r="H1102" s="897"/>
      <c r="I1102" s="898"/>
      <c r="J1102" s="898"/>
      <c r="K1102" s="899"/>
      <c r="L1102" s="899"/>
      <c r="M1102" s="899"/>
      <c r="N1102" s="899"/>
      <c r="O1102" s="899"/>
      <c r="P1102" s="899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96"/>
      <c r="E1103" s="677"/>
      <c r="F1103" s="677"/>
      <c r="G1103" s="677"/>
      <c r="H1103" s="897"/>
      <c r="I1103" s="898"/>
      <c r="J1103" s="898"/>
      <c r="K1103" s="899"/>
      <c r="L1103" s="899"/>
      <c r="M1103" s="899"/>
      <c r="N1103" s="899"/>
      <c r="O1103" s="899"/>
      <c r="P1103" s="899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96"/>
      <c r="E1104" s="677"/>
      <c r="F1104" s="677"/>
      <c r="G1104" s="677"/>
      <c r="H1104" s="897"/>
      <c r="I1104" s="898"/>
      <c r="J1104" s="898"/>
      <c r="K1104" s="899"/>
      <c r="L1104" s="899"/>
      <c r="M1104" s="899"/>
      <c r="N1104" s="899"/>
      <c r="O1104" s="899"/>
      <c r="P1104" s="899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96"/>
      <c r="E1105" s="677"/>
      <c r="F1105" s="677"/>
      <c r="G1105" s="677"/>
      <c r="H1105" s="897"/>
      <c r="I1105" s="898"/>
      <c r="J1105" s="898"/>
      <c r="K1105" s="899"/>
      <c r="L1105" s="899"/>
      <c r="M1105" s="899"/>
      <c r="N1105" s="899"/>
      <c r="O1105" s="899"/>
      <c r="P1105" s="899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96"/>
      <c r="E1106" s="677"/>
      <c r="F1106" s="677"/>
      <c r="G1106" s="677"/>
      <c r="H1106" s="897"/>
      <c r="I1106" s="898"/>
      <c r="J1106" s="898"/>
      <c r="K1106" s="899"/>
      <c r="L1106" s="899"/>
      <c r="M1106" s="899"/>
      <c r="N1106" s="899"/>
      <c r="O1106" s="899"/>
      <c r="P1106" s="899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96"/>
      <c r="E1107" s="677"/>
      <c r="F1107" s="677"/>
      <c r="G1107" s="677"/>
      <c r="H1107" s="897"/>
      <c r="I1107" s="898"/>
      <c r="J1107" s="898"/>
      <c r="K1107" s="899"/>
      <c r="L1107" s="899"/>
      <c r="M1107" s="899"/>
      <c r="N1107" s="899"/>
      <c r="O1107" s="899"/>
      <c r="P1107" s="899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96"/>
      <c r="E1108" s="677"/>
      <c r="F1108" s="677"/>
      <c r="G1108" s="677"/>
      <c r="H1108" s="897"/>
      <c r="I1108" s="898"/>
      <c r="J1108" s="898"/>
      <c r="K1108" s="899"/>
      <c r="L1108" s="899"/>
      <c r="M1108" s="899"/>
      <c r="N1108" s="899"/>
      <c r="O1108" s="899"/>
      <c r="P1108" s="899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96"/>
      <c r="E1109" s="677"/>
      <c r="F1109" s="677"/>
      <c r="G1109" s="677"/>
      <c r="H1109" s="897"/>
      <c r="I1109" s="898"/>
      <c r="J1109" s="898"/>
      <c r="K1109" s="899"/>
      <c r="L1109" s="899"/>
      <c r="M1109" s="899"/>
      <c r="N1109" s="899"/>
      <c r="O1109" s="899"/>
      <c r="P1109" s="899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96"/>
      <c r="E1110" s="677"/>
      <c r="F1110" s="677"/>
      <c r="G1110" s="677"/>
      <c r="H1110" s="897"/>
      <c r="I1110" s="898"/>
      <c r="J1110" s="898"/>
      <c r="K1110" s="899"/>
      <c r="L1110" s="899"/>
      <c r="M1110" s="899"/>
      <c r="N1110" s="899"/>
      <c r="O1110" s="899"/>
      <c r="P1110" s="899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96"/>
      <c r="E1111" s="677"/>
      <c r="F1111" s="677"/>
      <c r="G1111" s="677"/>
      <c r="H1111" s="897"/>
      <c r="I1111" s="898"/>
      <c r="J1111" s="898"/>
      <c r="K1111" s="899"/>
      <c r="L1111" s="899"/>
      <c r="M1111" s="899"/>
      <c r="N1111" s="899"/>
      <c r="O1111" s="899"/>
      <c r="P1111" s="899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96"/>
      <c r="E1112" s="677"/>
      <c r="F1112" s="677"/>
      <c r="G1112" s="677"/>
      <c r="H1112" s="897"/>
      <c r="I1112" s="898"/>
      <c r="J1112" s="898"/>
      <c r="K1112" s="899"/>
      <c r="L1112" s="899"/>
      <c r="M1112" s="899"/>
      <c r="N1112" s="899"/>
      <c r="O1112" s="899"/>
      <c r="P1112" s="899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96"/>
      <c r="E1113" s="677"/>
      <c r="F1113" s="677"/>
      <c r="G1113" s="677"/>
      <c r="H1113" s="897"/>
      <c r="I1113" s="898"/>
      <c r="J1113" s="898"/>
      <c r="K1113" s="899"/>
      <c r="L1113" s="899"/>
      <c r="M1113" s="899"/>
      <c r="N1113" s="899"/>
      <c r="O1113" s="899"/>
      <c r="P1113" s="899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96"/>
      <c r="E1114" s="677"/>
      <c r="F1114" s="677"/>
      <c r="G1114" s="677"/>
      <c r="H1114" s="897"/>
      <c r="I1114" s="898"/>
      <c r="J1114" s="898"/>
      <c r="K1114" s="899"/>
      <c r="L1114" s="899"/>
      <c r="M1114" s="899"/>
      <c r="N1114" s="899"/>
      <c r="O1114" s="899"/>
      <c r="P1114" s="899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96"/>
      <c r="E1115" s="677"/>
      <c r="F1115" s="677"/>
      <c r="G1115" s="677"/>
      <c r="H1115" s="897"/>
      <c r="I1115" s="898"/>
      <c r="J1115" s="898"/>
      <c r="K1115" s="899"/>
      <c r="L1115" s="899"/>
      <c r="M1115" s="899"/>
      <c r="N1115" s="899"/>
      <c r="O1115" s="899"/>
      <c r="P1115" s="899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96"/>
      <c r="E1116" s="677"/>
      <c r="F1116" s="677"/>
      <c r="G1116" s="677"/>
      <c r="H1116" s="897"/>
      <c r="I1116" s="898"/>
      <c r="J1116" s="898"/>
      <c r="K1116" s="899"/>
      <c r="L1116" s="899"/>
      <c r="M1116" s="899"/>
      <c r="N1116" s="899"/>
      <c r="O1116" s="899"/>
      <c r="P1116" s="899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96"/>
      <c r="E1117" s="677"/>
      <c r="F1117" s="677"/>
      <c r="G1117" s="677"/>
      <c r="H1117" s="897"/>
      <c r="I1117" s="898"/>
      <c r="J1117" s="898"/>
      <c r="K1117" s="899"/>
      <c r="L1117" s="899"/>
      <c r="M1117" s="899"/>
      <c r="N1117" s="899"/>
      <c r="O1117" s="899"/>
      <c r="P1117" s="899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96"/>
      <c r="E1118" s="677"/>
      <c r="F1118" s="677"/>
      <c r="G1118" s="677"/>
      <c r="H1118" s="897"/>
      <c r="I1118" s="898"/>
      <c r="J1118" s="898"/>
      <c r="K1118" s="899"/>
      <c r="L1118" s="899"/>
      <c r="M1118" s="899"/>
      <c r="N1118" s="899"/>
      <c r="O1118" s="899"/>
      <c r="P1118" s="899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96"/>
      <c r="E1119" s="677"/>
      <c r="F1119" s="677"/>
      <c r="G1119" s="677"/>
      <c r="H1119" s="897"/>
      <c r="I1119" s="898"/>
      <c r="J1119" s="898"/>
      <c r="K1119" s="899"/>
      <c r="L1119" s="899"/>
      <c r="M1119" s="899"/>
      <c r="N1119" s="899"/>
      <c r="O1119" s="899"/>
      <c r="P1119" s="899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96"/>
      <c r="E1120" s="677"/>
      <c r="F1120" s="677"/>
      <c r="G1120" s="677"/>
      <c r="H1120" s="897"/>
      <c r="I1120" s="898"/>
      <c r="J1120" s="898"/>
      <c r="K1120" s="899"/>
      <c r="L1120" s="899"/>
      <c r="M1120" s="899"/>
      <c r="N1120" s="899"/>
      <c r="O1120" s="899"/>
      <c r="P1120" s="899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96"/>
      <c r="E1121" s="677"/>
      <c r="F1121" s="677"/>
      <c r="G1121" s="677"/>
      <c r="H1121" s="897"/>
      <c r="I1121" s="898"/>
      <c r="J1121" s="898"/>
      <c r="K1121" s="899"/>
      <c r="L1121" s="899"/>
      <c r="M1121" s="899"/>
      <c r="N1121" s="899"/>
      <c r="O1121" s="899"/>
      <c r="P1121" s="899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96"/>
      <c r="E1122" s="677"/>
      <c r="F1122" s="677"/>
      <c r="G1122" s="677"/>
      <c r="H1122" s="897"/>
      <c r="I1122" s="898"/>
      <c r="J1122" s="898"/>
      <c r="K1122" s="899"/>
      <c r="L1122" s="899"/>
      <c r="M1122" s="899"/>
      <c r="N1122" s="899"/>
      <c r="O1122" s="899"/>
      <c r="P1122" s="899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96"/>
      <c r="E1123" s="677"/>
      <c r="F1123" s="677"/>
      <c r="G1123" s="677"/>
      <c r="H1123" s="897"/>
      <c r="I1123" s="898"/>
      <c r="J1123" s="898"/>
      <c r="K1123" s="899"/>
      <c r="L1123" s="899"/>
      <c r="M1123" s="899"/>
      <c r="N1123" s="899"/>
      <c r="O1123" s="899"/>
      <c r="P1123" s="899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96"/>
      <c r="E1124" s="677"/>
      <c r="F1124" s="677"/>
      <c r="G1124" s="677"/>
      <c r="H1124" s="897"/>
      <c r="I1124" s="898"/>
      <c r="J1124" s="898"/>
      <c r="K1124" s="899"/>
      <c r="L1124" s="899"/>
      <c r="M1124" s="899"/>
      <c r="N1124" s="899"/>
      <c r="O1124" s="899"/>
      <c r="P1124" s="899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96"/>
      <c r="E1125" s="677"/>
      <c r="F1125" s="677"/>
      <c r="G1125" s="677"/>
      <c r="H1125" s="897"/>
      <c r="I1125" s="898"/>
      <c r="J1125" s="898"/>
      <c r="K1125" s="899"/>
      <c r="L1125" s="899"/>
      <c r="M1125" s="899"/>
      <c r="N1125" s="899"/>
      <c r="O1125" s="899"/>
      <c r="P1125" s="899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96"/>
      <c r="E1126" s="677"/>
      <c r="F1126" s="677"/>
      <c r="G1126" s="677"/>
      <c r="H1126" s="897"/>
      <c r="I1126" s="898"/>
      <c r="J1126" s="898"/>
      <c r="K1126" s="899"/>
      <c r="L1126" s="899"/>
      <c r="M1126" s="899"/>
      <c r="N1126" s="899"/>
      <c r="O1126" s="899"/>
      <c r="P1126" s="899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96"/>
      <c r="E1127" s="677"/>
      <c r="F1127" s="677"/>
      <c r="G1127" s="677"/>
      <c r="H1127" s="897"/>
      <c r="I1127" s="898"/>
      <c r="J1127" s="898"/>
      <c r="K1127" s="899"/>
      <c r="L1127" s="899"/>
      <c r="M1127" s="899"/>
      <c r="N1127" s="899"/>
      <c r="O1127" s="899"/>
      <c r="P1127" s="899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96"/>
      <c r="E1128" s="677"/>
      <c r="F1128" s="677"/>
      <c r="G1128" s="677"/>
      <c r="H1128" s="897"/>
      <c r="I1128" s="898"/>
      <c r="J1128" s="898"/>
      <c r="K1128" s="899"/>
      <c r="L1128" s="899"/>
      <c r="M1128" s="899"/>
      <c r="N1128" s="899"/>
      <c r="O1128" s="899"/>
      <c r="P1128" s="899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96"/>
      <c r="E1129" s="677"/>
      <c r="F1129" s="677"/>
      <c r="G1129" s="677"/>
      <c r="H1129" s="897"/>
      <c r="I1129" s="898"/>
      <c r="J1129" s="898"/>
      <c r="K1129" s="899"/>
      <c r="L1129" s="899"/>
      <c r="M1129" s="899"/>
      <c r="N1129" s="899"/>
      <c r="O1129" s="899"/>
      <c r="P1129" s="899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96"/>
      <c r="E1130" s="677"/>
      <c r="F1130" s="677"/>
      <c r="G1130" s="677"/>
      <c r="H1130" s="897"/>
      <c r="I1130" s="898"/>
      <c r="J1130" s="898"/>
      <c r="K1130" s="899"/>
      <c r="L1130" s="899"/>
      <c r="M1130" s="899"/>
      <c r="N1130" s="899"/>
      <c r="O1130" s="899"/>
      <c r="P1130" s="899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96"/>
      <c r="E1131" s="677"/>
      <c r="F1131" s="677"/>
      <c r="G1131" s="677"/>
      <c r="H1131" s="897"/>
      <c r="I1131" s="898"/>
      <c r="J1131" s="898"/>
      <c r="K1131" s="899"/>
      <c r="L1131" s="899"/>
      <c r="M1131" s="899"/>
      <c r="N1131" s="899"/>
      <c r="O1131" s="899"/>
      <c r="P1131" s="899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96"/>
      <c r="E1132" s="677"/>
      <c r="F1132" s="677"/>
      <c r="G1132" s="677"/>
      <c r="H1132" s="897"/>
      <c r="I1132" s="898"/>
      <c r="J1132" s="898"/>
      <c r="K1132" s="899"/>
      <c r="L1132" s="899"/>
      <c r="M1132" s="899"/>
      <c r="N1132" s="899"/>
      <c r="O1132" s="899"/>
      <c r="P1132" s="899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96"/>
      <c r="E1133" s="677"/>
      <c r="F1133" s="677"/>
      <c r="G1133" s="677"/>
      <c r="H1133" s="897"/>
      <c r="I1133" s="898"/>
      <c r="J1133" s="898"/>
      <c r="K1133" s="899"/>
      <c r="L1133" s="899"/>
      <c r="M1133" s="899"/>
      <c r="N1133" s="899"/>
      <c r="O1133" s="899"/>
      <c r="P1133" s="899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96"/>
      <c r="E1134" s="677"/>
      <c r="F1134" s="677"/>
      <c r="G1134" s="677"/>
      <c r="H1134" s="897"/>
      <c r="I1134" s="898"/>
      <c r="J1134" s="898"/>
      <c r="K1134" s="899"/>
      <c r="L1134" s="899"/>
      <c r="M1134" s="899"/>
      <c r="N1134" s="899"/>
      <c r="O1134" s="899"/>
      <c r="P1134" s="899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96"/>
      <c r="E1135" s="677"/>
      <c r="F1135" s="677"/>
      <c r="G1135" s="677"/>
      <c r="H1135" s="897"/>
      <c r="I1135" s="898"/>
      <c r="J1135" s="898"/>
      <c r="K1135" s="899"/>
      <c r="L1135" s="899"/>
      <c r="M1135" s="899"/>
      <c r="N1135" s="899"/>
      <c r="O1135" s="899"/>
      <c r="P1135" s="899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96"/>
      <c r="E1136" s="677"/>
      <c r="F1136" s="677"/>
      <c r="G1136" s="677"/>
      <c r="H1136" s="897"/>
      <c r="I1136" s="898"/>
      <c r="J1136" s="898"/>
      <c r="K1136" s="899"/>
      <c r="L1136" s="899"/>
      <c r="M1136" s="899"/>
      <c r="N1136" s="899"/>
      <c r="O1136" s="899"/>
      <c r="P1136" s="899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96"/>
      <c r="E1137" s="677"/>
      <c r="F1137" s="677"/>
      <c r="G1137" s="677"/>
      <c r="H1137" s="897"/>
      <c r="I1137" s="898"/>
      <c r="J1137" s="898"/>
      <c r="K1137" s="899"/>
      <c r="L1137" s="899"/>
      <c r="M1137" s="899"/>
      <c r="N1137" s="899"/>
      <c r="O1137" s="899"/>
      <c r="P1137" s="899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96"/>
      <c r="E1138" s="677"/>
      <c r="F1138" s="677"/>
      <c r="G1138" s="677"/>
      <c r="H1138" s="897"/>
      <c r="I1138" s="898"/>
      <c r="J1138" s="898"/>
      <c r="K1138" s="899"/>
      <c r="L1138" s="899"/>
      <c r="M1138" s="899"/>
      <c r="N1138" s="899"/>
      <c r="O1138" s="899"/>
      <c r="P1138" s="899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96"/>
      <c r="E1139" s="677"/>
      <c r="F1139" s="677"/>
      <c r="G1139" s="677"/>
      <c r="H1139" s="897"/>
      <c r="I1139" s="898"/>
      <c r="J1139" s="898"/>
      <c r="K1139" s="899"/>
      <c r="L1139" s="899"/>
      <c r="M1139" s="899"/>
      <c r="N1139" s="899"/>
      <c r="O1139" s="899"/>
      <c r="P1139" s="899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96"/>
      <c r="E1140" s="677"/>
      <c r="F1140" s="677"/>
      <c r="G1140" s="677"/>
      <c r="H1140" s="897"/>
      <c r="I1140" s="898"/>
      <c r="J1140" s="898"/>
      <c r="K1140" s="899"/>
      <c r="L1140" s="899"/>
      <c r="M1140" s="899"/>
      <c r="N1140" s="899"/>
      <c r="O1140" s="899"/>
      <c r="P1140" s="899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96"/>
      <c r="E1141" s="677"/>
      <c r="F1141" s="677"/>
      <c r="G1141" s="677"/>
      <c r="H1141" s="897"/>
      <c r="I1141" s="898"/>
      <c r="J1141" s="898"/>
      <c r="K1141" s="899"/>
      <c r="L1141" s="899"/>
      <c r="M1141" s="899"/>
      <c r="N1141" s="899"/>
      <c r="O1141" s="899"/>
      <c r="P1141" s="899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96"/>
      <c r="E1142" s="677"/>
      <c r="F1142" s="677"/>
      <c r="G1142" s="677"/>
      <c r="H1142" s="897"/>
      <c r="I1142" s="898"/>
      <c r="J1142" s="898"/>
      <c r="K1142" s="899"/>
      <c r="L1142" s="899"/>
      <c r="M1142" s="899"/>
      <c r="N1142" s="899"/>
      <c r="O1142" s="899"/>
      <c r="P1142" s="899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96"/>
      <c r="E1143" s="677"/>
      <c r="F1143" s="677"/>
      <c r="G1143" s="677"/>
      <c r="H1143" s="897"/>
      <c r="I1143" s="898"/>
      <c r="J1143" s="898"/>
      <c r="K1143" s="899"/>
      <c r="L1143" s="899"/>
      <c r="M1143" s="899"/>
      <c r="N1143" s="899"/>
      <c r="O1143" s="899"/>
      <c r="P1143" s="899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96"/>
      <c r="E1144" s="677"/>
      <c r="F1144" s="677"/>
      <c r="G1144" s="677"/>
      <c r="H1144" s="897"/>
      <c r="I1144" s="898"/>
      <c r="J1144" s="898"/>
      <c r="K1144" s="899"/>
      <c r="L1144" s="899"/>
      <c r="M1144" s="899"/>
      <c r="N1144" s="899"/>
      <c r="O1144" s="899"/>
      <c r="P1144" s="899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96"/>
      <c r="E1145" s="677"/>
      <c r="F1145" s="677"/>
      <c r="G1145" s="677"/>
      <c r="H1145" s="897"/>
      <c r="I1145" s="898"/>
      <c r="J1145" s="898"/>
      <c r="K1145" s="899"/>
      <c r="L1145" s="899"/>
      <c r="M1145" s="899"/>
      <c r="N1145" s="899"/>
      <c r="O1145" s="899"/>
      <c r="P1145" s="899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96"/>
      <c r="E1146" s="677"/>
      <c r="F1146" s="677"/>
      <c r="G1146" s="677"/>
      <c r="H1146" s="897"/>
      <c r="I1146" s="898"/>
      <c r="J1146" s="898"/>
      <c r="K1146" s="899"/>
      <c r="L1146" s="899"/>
      <c r="M1146" s="899"/>
      <c r="N1146" s="899"/>
      <c r="O1146" s="899"/>
      <c r="P1146" s="899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96"/>
      <c r="E1147" s="677"/>
      <c r="F1147" s="677"/>
      <c r="G1147" s="677"/>
      <c r="H1147" s="897"/>
      <c r="I1147" s="898"/>
      <c r="J1147" s="898"/>
      <c r="K1147" s="899"/>
      <c r="L1147" s="899"/>
      <c r="M1147" s="899"/>
      <c r="N1147" s="899"/>
      <c r="O1147" s="899"/>
      <c r="P1147" s="899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96"/>
      <c r="E1148" s="677"/>
      <c r="F1148" s="677"/>
      <c r="G1148" s="677"/>
      <c r="H1148" s="897"/>
      <c r="I1148" s="898"/>
      <c r="J1148" s="898"/>
      <c r="K1148" s="899"/>
      <c r="L1148" s="899"/>
      <c r="M1148" s="899"/>
      <c r="N1148" s="899"/>
      <c r="O1148" s="899"/>
      <c r="P1148" s="899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96"/>
      <c r="E1149" s="677"/>
      <c r="F1149" s="677"/>
      <c r="G1149" s="677"/>
      <c r="H1149" s="897"/>
      <c r="I1149" s="898"/>
      <c r="J1149" s="898"/>
      <c r="K1149" s="899"/>
      <c r="L1149" s="899"/>
      <c r="M1149" s="899"/>
      <c r="N1149" s="899"/>
      <c r="O1149" s="899"/>
      <c r="P1149" s="899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96"/>
      <c r="E1150" s="677"/>
      <c r="F1150" s="677"/>
      <c r="G1150" s="677"/>
      <c r="H1150" s="897"/>
      <c r="I1150" s="898"/>
      <c r="J1150" s="898"/>
      <c r="K1150" s="899"/>
      <c r="L1150" s="899"/>
      <c r="M1150" s="899"/>
      <c r="N1150" s="899"/>
      <c r="O1150" s="899"/>
      <c r="P1150" s="899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96"/>
      <c r="E1151" s="677"/>
      <c r="F1151" s="677"/>
      <c r="G1151" s="677"/>
      <c r="H1151" s="897"/>
      <c r="I1151" s="898"/>
      <c r="J1151" s="898"/>
      <c r="K1151" s="899"/>
      <c r="L1151" s="899"/>
      <c r="M1151" s="899"/>
      <c r="N1151" s="899"/>
      <c r="O1151" s="899"/>
      <c r="P1151" s="899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96"/>
      <c r="E1152" s="677"/>
      <c r="F1152" s="677"/>
      <c r="G1152" s="677"/>
      <c r="H1152" s="897"/>
      <c r="I1152" s="898"/>
      <c r="J1152" s="898"/>
      <c r="K1152" s="899"/>
      <c r="L1152" s="899"/>
      <c r="M1152" s="899"/>
      <c r="N1152" s="899"/>
      <c r="O1152" s="899"/>
      <c r="P1152" s="899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96"/>
      <c r="E1153" s="677"/>
      <c r="F1153" s="677"/>
      <c r="G1153" s="677"/>
      <c r="H1153" s="897"/>
      <c r="I1153" s="898"/>
      <c r="J1153" s="898"/>
      <c r="K1153" s="899"/>
      <c r="L1153" s="899"/>
      <c r="M1153" s="899"/>
      <c r="N1153" s="899"/>
      <c r="O1153" s="899"/>
      <c r="P1153" s="899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96"/>
      <c r="E1154" s="677"/>
      <c r="F1154" s="677"/>
      <c r="G1154" s="677"/>
      <c r="H1154" s="897"/>
      <c r="I1154" s="898"/>
      <c r="J1154" s="898"/>
      <c r="K1154" s="899"/>
      <c r="L1154" s="899"/>
      <c r="M1154" s="899"/>
      <c r="N1154" s="899"/>
      <c r="O1154" s="899"/>
      <c r="P1154" s="899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96"/>
      <c r="E1155" s="677"/>
      <c r="F1155" s="677"/>
      <c r="G1155" s="677"/>
      <c r="H1155" s="897"/>
      <c r="I1155" s="898"/>
      <c r="J1155" s="898"/>
      <c r="K1155" s="899"/>
      <c r="L1155" s="899"/>
      <c r="M1155" s="899"/>
      <c r="N1155" s="899"/>
      <c r="O1155" s="899"/>
      <c r="P1155" s="899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96"/>
      <c r="E1156" s="677"/>
      <c r="F1156" s="677"/>
      <c r="G1156" s="677"/>
      <c r="H1156" s="897"/>
      <c r="I1156" s="898"/>
      <c r="J1156" s="898"/>
      <c r="K1156" s="899"/>
      <c r="L1156" s="899"/>
      <c r="M1156" s="899"/>
      <c r="N1156" s="899"/>
      <c r="O1156" s="899"/>
      <c r="P1156" s="899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96"/>
      <c r="E1157" s="677"/>
      <c r="F1157" s="677"/>
      <c r="G1157" s="677"/>
      <c r="H1157" s="897"/>
      <c r="I1157" s="898"/>
      <c r="J1157" s="898"/>
      <c r="K1157" s="899"/>
      <c r="L1157" s="899"/>
      <c r="M1157" s="899"/>
      <c r="N1157" s="899"/>
      <c r="O1157" s="899"/>
      <c r="P1157" s="899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96"/>
      <c r="E1158" s="677"/>
      <c r="F1158" s="677"/>
      <c r="G1158" s="677"/>
      <c r="H1158" s="897"/>
      <c r="I1158" s="898"/>
      <c r="J1158" s="898"/>
      <c r="K1158" s="899"/>
      <c r="L1158" s="899"/>
      <c r="M1158" s="899"/>
      <c r="N1158" s="899"/>
      <c r="O1158" s="899"/>
      <c r="P1158" s="899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96"/>
      <c r="E1159" s="677"/>
      <c r="F1159" s="677"/>
      <c r="G1159" s="677"/>
      <c r="H1159" s="897"/>
      <c r="I1159" s="898"/>
      <c r="J1159" s="898"/>
      <c r="K1159" s="899"/>
      <c r="L1159" s="899"/>
      <c r="M1159" s="899"/>
      <c r="N1159" s="899"/>
      <c r="O1159" s="899"/>
      <c r="P1159" s="899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96"/>
      <c r="E1160" s="677"/>
      <c r="F1160" s="677"/>
      <c r="G1160" s="677"/>
      <c r="H1160" s="897"/>
      <c r="I1160" s="898"/>
      <c r="J1160" s="898"/>
      <c r="K1160" s="899"/>
      <c r="L1160" s="899"/>
      <c r="M1160" s="899"/>
      <c r="N1160" s="899"/>
      <c r="O1160" s="899"/>
      <c r="P1160" s="899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96"/>
      <c r="E1161" s="677"/>
      <c r="F1161" s="677"/>
      <c r="G1161" s="677"/>
      <c r="H1161" s="897"/>
      <c r="I1161" s="898"/>
      <c r="J1161" s="898"/>
      <c r="K1161" s="899"/>
      <c r="L1161" s="899"/>
      <c r="M1161" s="899"/>
      <c r="N1161" s="899"/>
      <c r="O1161" s="899"/>
      <c r="P1161" s="899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96"/>
      <c r="E1162" s="677"/>
      <c r="F1162" s="677"/>
      <c r="G1162" s="677"/>
      <c r="H1162" s="897"/>
      <c r="I1162" s="898"/>
      <c r="J1162" s="898"/>
      <c r="K1162" s="899"/>
      <c r="L1162" s="899"/>
      <c r="M1162" s="899"/>
      <c r="N1162" s="899"/>
      <c r="O1162" s="899"/>
      <c r="P1162" s="899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96"/>
      <c r="E1163" s="677"/>
      <c r="F1163" s="677"/>
      <c r="G1163" s="677"/>
      <c r="H1163" s="897"/>
      <c r="I1163" s="898"/>
      <c r="J1163" s="898"/>
      <c r="K1163" s="899"/>
      <c r="L1163" s="899"/>
      <c r="M1163" s="899"/>
      <c r="N1163" s="899"/>
      <c r="O1163" s="899"/>
      <c r="P1163" s="899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96"/>
      <c r="E1164" s="677"/>
      <c r="F1164" s="677"/>
      <c r="G1164" s="677"/>
      <c r="H1164" s="897"/>
      <c r="I1164" s="898"/>
      <c r="J1164" s="898"/>
      <c r="K1164" s="899"/>
      <c r="L1164" s="899"/>
      <c r="M1164" s="899"/>
      <c r="N1164" s="899"/>
      <c r="O1164" s="899"/>
      <c r="P1164" s="899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96"/>
      <c r="E1165" s="677"/>
      <c r="F1165" s="677"/>
      <c r="G1165" s="677"/>
      <c r="H1165" s="897"/>
      <c r="I1165" s="898"/>
      <c r="J1165" s="898"/>
      <c r="K1165" s="899"/>
      <c r="L1165" s="899"/>
      <c r="M1165" s="899"/>
      <c r="N1165" s="899"/>
      <c r="O1165" s="899"/>
      <c r="P1165" s="899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96"/>
      <c r="E1166" s="677"/>
      <c r="F1166" s="677"/>
      <c r="G1166" s="677"/>
      <c r="H1166" s="897"/>
      <c r="I1166" s="898"/>
      <c r="J1166" s="898"/>
      <c r="K1166" s="899"/>
      <c r="L1166" s="899"/>
      <c r="M1166" s="899"/>
      <c r="N1166" s="899"/>
      <c r="O1166" s="899"/>
      <c r="P1166" s="899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96"/>
      <c r="E1167" s="677"/>
      <c r="F1167" s="677"/>
      <c r="G1167" s="677"/>
      <c r="H1167" s="897"/>
      <c r="I1167" s="898"/>
      <c r="J1167" s="898"/>
      <c r="K1167" s="899"/>
      <c r="L1167" s="899"/>
      <c r="M1167" s="899"/>
      <c r="N1167" s="899"/>
      <c r="O1167" s="899"/>
      <c r="P1167" s="899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96"/>
      <c r="E1168" s="677"/>
      <c r="F1168" s="677"/>
      <c r="G1168" s="677"/>
      <c r="H1168" s="897"/>
      <c r="I1168" s="898"/>
      <c r="J1168" s="898"/>
      <c r="K1168" s="899"/>
      <c r="L1168" s="899"/>
      <c r="M1168" s="899"/>
      <c r="N1168" s="899"/>
      <c r="O1168" s="899"/>
      <c r="P1168" s="899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96"/>
      <c r="E1169" s="677"/>
      <c r="F1169" s="677"/>
      <c r="G1169" s="677"/>
      <c r="H1169" s="897"/>
      <c r="I1169" s="898"/>
      <c r="J1169" s="898"/>
      <c r="K1169" s="899"/>
      <c r="L1169" s="899"/>
      <c r="M1169" s="899"/>
      <c r="N1169" s="899"/>
      <c r="O1169" s="899"/>
      <c r="P1169" s="899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96"/>
      <c r="E1170" s="677"/>
      <c r="F1170" s="677"/>
      <c r="G1170" s="677"/>
      <c r="H1170" s="897"/>
      <c r="I1170" s="898"/>
      <c r="J1170" s="898"/>
      <c r="K1170" s="899"/>
      <c r="L1170" s="899"/>
      <c r="M1170" s="899"/>
      <c r="N1170" s="899"/>
      <c r="O1170" s="899"/>
      <c r="P1170" s="899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96"/>
      <c r="E1171" s="677"/>
      <c r="F1171" s="677"/>
      <c r="G1171" s="677"/>
      <c r="H1171" s="897"/>
      <c r="I1171" s="898"/>
      <c r="J1171" s="898"/>
      <c r="K1171" s="899"/>
      <c r="L1171" s="899"/>
      <c r="M1171" s="899"/>
      <c r="N1171" s="899"/>
      <c r="O1171" s="899"/>
      <c r="P1171" s="899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96"/>
      <c r="E1172" s="677"/>
      <c r="F1172" s="677"/>
      <c r="G1172" s="677"/>
      <c r="H1172" s="897"/>
      <c r="I1172" s="898"/>
      <c r="J1172" s="898"/>
      <c r="K1172" s="899"/>
      <c r="L1172" s="899"/>
      <c r="M1172" s="899"/>
      <c r="N1172" s="899"/>
      <c r="O1172" s="899"/>
      <c r="P1172" s="899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96"/>
      <c r="E1173" s="677"/>
      <c r="F1173" s="677"/>
      <c r="G1173" s="677"/>
      <c r="H1173" s="897"/>
      <c r="I1173" s="898"/>
      <c r="J1173" s="898"/>
      <c r="K1173" s="899"/>
      <c r="L1173" s="899"/>
      <c r="M1173" s="899"/>
      <c r="N1173" s="899"/>
      <c r="O1173" s="899"/>
      <c r="P1173" s="899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96"/>
      <c r="E1174" s="677"/>
      <c r="F1174" s="677"/>
      <c r="G1174" s="677"/>
      <c r="H1174" s="897"/>
      <c r="I1174" s="898"/>
      <c r="J1174" s="898"/>
      <c r="K1174" s="899"/>
      <c r="L1174" s="899"/>
      <c r="M1174" s="899"/>
      <c r="N1174" s="899"/>
      <c r="O1174" s="899"/>
      <c r="P1174" s="899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96"/>
      <c r="E1175" s="677"/>
      <c r="F1175" s="677"/>
      <c r="G1175" s="677"/>
      <c r="H1175" s="897"/>
      <c r="I1175" s="898"/>
      <c r="J1175" s="898"/>
      <c r="K1175" s="899"/>
      <c r="L1175" s="899"/>
      <c r="M1175" s="899"/>
      <c r="N1175" s="899"/>
      <c r="O1175" s="899"/>
      <c r="P1175" s="899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96"/>
      <c r="E1176" s="677"/>
      <c r="F1176" s="677"/>
      <c r="G1176" s="677"/>
      <c r="H1176" s="897"/>
      <c r="I1176" s="898"/>
      <c r="J1176" s="898"/>
      <c r="K1176" s="899"/>
      <c r="L1176" s="899"/>
      <c r="M1176" s="899"/>
      <c r="N1176" s="899"/>
      <c r="O1176" s="899"/>
      <c r="P1176" s="899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96"/>
      <c r="E1177" s="677"/>
      <c r="F1177" s="677"/>
      <c r="G1177" s="677"/>
      <c r="H1177" s="897"/>
      <c r="I1177" s="898"/>
      <c r="J1177" s="898"/>
      <c r="K1177" s="899"/>
      <c r="L1177" s="899"/>
      <c r="M1177" s="899"/>
      <c r="N1177" s="899"/>
      <c r="O1177" s="899"/>
      <c r="P1177" s="899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96"/>
      <c r="E1178" s="677"/>
      <c r="F1178" s="677"/>
      <c r="G1178" s="677"/>
      <c r="H1178" s="897"/>
      <c r="I1178" s="898"/>
      <c r="J1178" s="898"/>
      <c r="K1178" s="899"/>
      <c r="L1178" s="899"/>
      <c r="M1178" s="899"/>
      <c r="N1178" s="899"/>
      <c r="O1178" s="899"/>
      <c r="P1178" s="899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96"/>
      <c r="E1179" s="677"/>
      <c r="F1179" s="677"/>
      <c r="G1179" s="677"/>
      <c r="H1179" s="897"/>
      <c r="I1179" s="898"/>
      <c r="J1179" s="898"/>
      <c r="K1179" s="899"/>
      <c r="L1179" s="899"/>
      <c r="M1179" s="899"/>
      <c r="N1179" s="899"/>
      <c r="O1179" s="899"/>
      <c r="P1179" s="899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96"/>
      <c r="E1180" s="677"/>
      <c r="F1180" s="677"/>
      <c r="G1180" s="677"/>
      <c r="H1180" s="897"/>
      <c r="I1180" s="898"/>
      <c r="J1180" s="898"/>
      <c r="K1180" s="899"/>
      <c r="L1180" s="899"/>
      <c r="M1180" s="899"/>
      <c r="N1180" s="899"/>
      <c r="O1180" s="899"/>
      <c r="P1180" s="899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96"/>
      <c r="E1181" s="677"/>
      <c r="F1181" s="677"/>
      <c r="G1181" s="677"/>
      <c r="H1181" s="897"/>
      <c r="I1181" s="898"/>
      <c r="J1181" s="898"/>
      <c r="K1181" s="899"/>
      <c r="L1181" s="899"/>
      <c r="M1181" s="899"/>
      <c r="N1181" s="899"/>
      <c r="O1181" s="899"/>
      <c r="P1181" s="899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96"/>
      <c r="E1182" s="677"/>
      <c r="F1182" s="677"/>
      <c r="G1182" s="677"/>
      <c r="H1182" s="897"/>
      <c r="I1182" s="898"/>
      <c r="J1182" s="898"/>
      <c r="K1182" s="899"/>
      <c r="L1182" s="899"/>
      <c r="M1182" s="899"/>
      <c r="N1182" s="899"/>
      <c r="O1182" s="899"/>
      <c r="P1182" s="899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96"/>
      <c r="E1183" s="677"/>
      <c r="F1183" s="677"/>
      <c r="G1183" s="677"/>
      <c r="H1183" s="897"/>
      <c r="I1183" s="898"/>
      <c r="J1183" s="898"/>
      <c r="K1183" s="899"/>
      <c r="L1183" s="899"/>
      <c r="M1183" s="899"/>
      <c r="N1183" s="899"/>
      <c r="O1183" s="899"/>
      <c r="P1183" s="899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96"/>
      <c r="E1184" s="677"/>
      <c r="F1184" s="677"/>
      <c r="G1184" s="677"/>
      <c r="H1184" s="897"/>
      <c r="I1184" s="898"/>
      <c r="J1184" s="898"/>
      <c r="K1184" s="899"/>
      <c r="L1184" s="899"/>
      <c r="M1184" s="899"/>
      <c r="N1184" s="899"/>
      <c r="O1184" s="899"/>
      <c r="P1184" s="899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96"/>
      <c r="E1185" s="677"/>
      <c r="F1185" s="677"/>
      <c r="G1185" s="677"/>
      <c r="H1185" s="897"/>
      <c r="I1185" s="898"/>
      <c r="J1185" s="898"/>
      <c r="K1185" s="899"/>
      <c r="L1185" s="899"/>
      <c r="M1185" s="899"/>
      <c r="N1185" s="899"/>
      <c r="O1185" s="899"/>
      <c r="P1185" s="899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96"/>
      <c r="E1186" s="677"/>
      <c r="F1186" s="677"/>
      <c r="G1186" s="677"/>
      <c r="H1186" s="897"/>
      <c r="I1186" s="898"/>
      <c r="J1186" s="898"/>
      <c r="K1186" s="899"/>
      <c r="L1186" s="899"/>
      <c r="M1186" s="899"/>
      <c r="N1186" s="899"/>
      <c r="O1186" s="899"/>
      <c r="P1186" s="899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96"/>
      <c r="E1187" s="677"/>
      <c r="F1187" s="677"/>
      <c r="G1187" s="677"/>
      <c r="H1187" s="897"/>
      <c r="I1187" s="898"/>
      <c r="J1187" s="898"/>
      <c r="K1187" s="899"/>
      <c r="L1187" s="899"/>
      <c r="M1187" s="899"/>
      <c r="N1187" s="899"/>
      <c r="O1187" s="899"/>
      <c r="P1187" s="899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96"/>
      <c r="E1188" s="677"/>
      <c r="F1188" s="677"/>
      <c r="G1188" s="677"/>
      <c r="H1188" s="897"/>
      <c r="I1188" s="898"/>
      <c r="J1188" s="898"/>
      <c r="K1188" s="899"/>
      <c r="L1188" s="899"/>
      <c r="M1188" s="899"/>
      <c r="N1188" s="899"/>
      <c r="O1188" s="899"/>
      <c r="P1188" s="899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96"/>
      <c r="E1189" s="677"/>
      <c r="F1189" s="677"/>
      <c r="G1189" s="677"/>
      <c r="H1189" s="897"/>
      <c r="I1189" s="898"/>
      <c r="J1189" s="898"/>
      <c r="K1189" s="899"/>
      <c r="L1189" s="899"/>
      <c r="M1189" s="899"/>
      <c r="N1189" s="899"/>
      <c r="O1189" s="899"/>
      <c r="P1189" s="899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96"/>
      <c r="E1190" s="677"/>
      <c r="F1190" s="677"/>
      <c r="G1190" s="677"/>
      <c r="H1190" s="897"/>
      <c r="I1190" s="898"/>
      <c r="J1190" s="898"/>
      <c r="K1190" s="899"/>
      <c r="L1190" s="899"/>
      <c r="M1190" s="899"/>
      <c r="N1190" s="899"/>
      <c r="O1190" s="899"/>
      <c r="P1190" s="899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96"/>
      <c r="E1191" s="677"/>
      <c r="F1191" s="677"/>
      <c r="G1191" s="677"/>
      <c r="H1191" s="897"/>
      <c r="I1191" s="898"/>
      <c r="J1191" s="898"/>
      <c r="K1191" s="899"/>
      <c r="L1191" s="899"/>
      <c r="M1191" s="899"/>
      <c r="N1191" s="899"/>
      <c r="O1191" s="899"/>
      <c r="P1191" s="899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96"/>
      <c r="E1192" s="677"/>
      <c r="F1192" s="677"/>
      <c r="G1192" s="677"/>
      <c r="H1192" s="897"/>
      <c r="I1192" s="898"/>
      <c r="J1192" s="898"/>
      <c r="K1192" s="899"/>
      <c r="L1192" s="899"/>
      <c r="M1192" s="899"/>
      <c r="N1192" s="899"/>
      <c r="O1192" s="899"/>
      <c r="P1192" s="899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96"/>
      <c r="E1193" s="677"/>
      <c r="F1193" s="677"/>
      <c r="G1193" s="677"/>
      <c r="H1193" s="897"/>
      <c r="I1193" s="898"/>
      <c r="J1193" s="898"/>
      <c r="K1193" s="899"/>
      <c r="L1193" s="899"/>
      <c r="M1193" s="899"/>
      <c r="N1193" s="899"/>
      <c r="O1193" s="899"/>
      <c r="P1193" s="899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96"/>
      <c r="E1194" s="677"/>
      <c r="F1194" s="677"/>
      <c r="G1194" s="677"/>
      <c r="H1194" s="897"/>
      <c r="I1194" s="898"/>
      <c r="J1194" s="898"/>
      <c r="K1194" s="899"/>
      <c r="L1194" s="899"/>
      <c r="M1194" s="899"/>
      <c r="N1194" s="899"/>
      <c r="O1194" s="899"/>
      <c r="P1194" s="899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96"/>
      <c r="E1195" s="677"/>
      <c r="F1195" s="677"/>
      <c r="G1195" s="677"/>
      <c r="H1195" s="897"/>
      <c r="I1195" s="898"/>
      <c r="J1195" s="898"/>
      <c r="K1195" s="899"/>
      <c r="L1195" s="899"/>
      <c r="M1195" s="899"/>
      <c r="N1195" s="899"/>
      <c r="O1195" s="899"/>
      <c r="P1195" s="899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96"/>
      <c r="E1196" s="677"/>
      <c r="F1196" s="677"/>
      <c r="G1196" s="677"/>
      <c r="H1196" s="897"/>
      <c r="I1196" s="898"/>
      <c r="J1196" s="898"/>
      <c r="K1196" s="899"/>
      <c r="L1196" s="899"/>
      <c r="M1196" s="899"/>
      <c r="N1196" s="899"/>
      <c r="O1196" s="899"/>
      <c r="P1196" s="899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96"/>
      <c r="E1197" s="677"/>
      <c r="F1197" s="677"/>
      <c r="G1197" s="677"/>
      <c r="H1197" s="897"/>
      <c r="I1197" s="898"/>
      <c r="J1197" s="898"/>
      <c r="K1197" s="899"/>
      <c r="L1197" s="899"/>
      <c r="M1197" s="899"/>
      <c r="N1197" s="899"/>
      <c r="O1197" s="899"/>
      <c r="P1197" s="899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96"/>
      <c r="E1198" s="677"/>
      <c r="F1198" s="677"/>
      <c r="G1198" s="677"/>
      <c r="H1198" s="897"/>
      <c r="I1198" s="898"/>
      <c r="J1198" s="898"/>
      <c r="K1198" s="899"/>
      <c r="L1198" s="899"/>
      <c r="M1198" s="899"/>
      <c r="N1198" s="899"/>
      <c r="O1198" s="899"/>
      <c r="P1198" s="899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96"/>
      <c r="E1199" s="677"/>
      <c r="F1199" s="677"/>
      <c r="G1199" s="677"/>
      <c r="H1199" s="897"/>
      <c r="I1199" s="898"/>
      <c r="J1199" s="898"/>
      <c r="K1199" s="899"/>
      <c r="L1199" s="899"/>
      <c r="M1199" s="899"/>
      <c r="N1199" s="899"/>
      <c r="O1199" s="899"/>
      <c r="P1199" s="899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96"/>
      <c r="E1200" s="677"/>
      <c r="F1200" s="677"/>
      <c r="G1200" s="677"/>
      <c r="H1200" s="897"/>
      <c r="I1200" s="898"/>
      <c r="J1200" s="898"/>
      <c r="K1200" s="899"/>
      <c r="L1200" s="899"/>
      <c r="M1200" s="899"/>
      <c r="N1200" s="899"/>
      <c r="O1200" s="899"/>
      <c r="P1200" s="899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96"/>
      <c r="E1201" s="677"/>
      <c r="F1201" s="677"/>
      <c r="G1201" s="677"/>
      <c r="H1201" s="897"/>
      <c r="I1201" s="898"/>
      <c r="J1201" s="898"/>
      <c r="K1201" s="899"/>
      <c r="L1201" s="899"/>
      <c r="M1201" s="899"/>
      <c r="N1201" s="899"/>
      <c r="O1201" s="899"/>
      <c r="P1201" s="899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96"/>
      <c r="E1202" s="677"/>
      <c r="F1202" s="677"/>
      <c r="G1202" s="677"/>
      <c r="H1202" s="897"/>
      <c r="I1202" s="898"/>
      <c r="J1202" s="898"/>
      <c r="K1202" s="899"/>
      <c r="L1202" s="899"/>
      <c r="M1202" s="899"/>
      <c r="N1202" s="899"/>
      <c r="O1202" s="899"/>
      <c r="P1202" s="899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96"/>
      <c r="E1203" s="677"/>
      <c r="F1203" s="677"/>
      <c r="G1203" s="677"/>
      <c r="H1203" s="897"/>
      <c r="I1203" s="898"/>
      <c r="J1203" s="898"/>
      <c r="K1203" s="899"/>
      <c r="L1203" s="899"/>
      <c r="M1203" s="899"/>
      <c r="N1203" s="899"/>
      <c r="O1203" s="899"/>
      <c r="P1203" s="899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96"/>
      <c r="E1204" s="677"/>
      <c r="F1204" s="677"/>
      <c r="G1204" s="677"/>
      <c r="H1204" s="897"/>
      <c r="I1204" s="898"/>
      <c r="J1204" s="898"/>
      <c r="K1204" s="899"/>
      <c r="L1204" s="899"/>
      <c r="M1204" s="899"/>
      <c r="N1204" s="899"/>
      <c r="O1204" s="899"/>
      <c r="P1204" s="899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96"/>
      <c r="E1205" s="677"/>
      <c r="F1205" s="677"/>
      <c r="G1205" s="677"/>
      <c r="H1205" s="897"/>
      <c r="I1205" s="898"/>
      <c r="J1205" s="898"/>
      <c r="K1205" s="899"/>
      <c r="L1205" s="899"/>
      <c r="M1205" s="899"/>
      <c r="N1205" s="899"/>
      <c r="O1205" s="899"/>
      <c r="P1205" s="899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96"/>
      <c r="E1206" s="677"/>
      <c r="F1206" s="677"/>
      <c r="G1206" s="677"/>
      <c r="H1206" s="897"/>
      <c r="I1206" s="898"/>
      <c r="J1206" s="898"/>
      <c r="K1206" s="899"/>
      <c r="L1206" s="899"/>
      <c r="M1206" s="899"/>
      <c r="N1206" s="899"/>
      <c r="O1206" s="899"/>
      <c r="P1206" s="899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96"/>
      <c r="E1207" s="677"/>
      <c r="F1207" s="677"/>
      <c r="G1207" s="677"/>
      <c r="H1207" s="897"/>
      <c r="I1207" s="898"/>
      <c r="J1207" s="898"/>
      <c r="K1207" s="899"/>
      <c r="L1207" s="899"/>
      <c r="M1207" s="899"/>
      <c r="N1207" s="899"/>
      <c r="O1207" s="899"/>
      <c r="P1207" s="899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96"/>
      <c r="E1208" s="677"/>
      <c r="F1208" s="677"/>
      <c r="G1208" s="677"/>
      <c r="H1208" s="897"/>
      <c r="I1208" s="898"/>
      <c r="J1208" s="898"/>
      <c r="K1208" s="899"/>
      <c r="L1208" s="899"/>
      <c r="M1208" s="899"/>
      <c r="N1208" s="899"/>
      <c r="O1208" s="899"/>
      <c r="P1208" s="899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96"/>
      <c r="E1209" s="677"/>
      <c r="F1209" s="677"/>
      <c r="G1209" s="677"/>
      <c r="H1209" s="897"/>
      <c r="I1209" s="898"/>
      <c r="J1209" s="898"/>
      <c r="K1209" s="899"/>
      <c r="L1209" s="899"/>
      <c r="M1209" s="899"/>
      <c r="N1209" s="899"/>
      <c r="O1209" s="899"/>
      <c r="P1209" s="899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96"/>
      <c r="E1210" s="677"/>
      <c r="F1210" s="677"/>
      <c r="G1210" s="677"/>
      <c r="H1210" s="897"/>
      <c r="I1210" s="898"/>
      <c r="J1210" s="898"/>
      <c r="K1210" s="899"/>
      <c r="L1210" s="899"/>
      <c r="M1210" s="899"/>
      <c r="N1210" s="899"/>
      <c r="O1210" s="899"/>
      <c r="P1210" s="899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96"/>
      <c r="E1211" s="677"/>
      <c r="F1211" s="677"/>
      <c r="G1211" s="677"/>
      <c r="H1211" s="897"/>
      <c r="I1211" s="898"/>
      <c r="J1211" s="898"/>
      <c r="K1211" s="899"/>
      <c r="L1211" s="899"/>
      <c r="M1211" s="899"/>
      <c r="N1211" s="899"/>
      <c r="O1211" s="899"/>
      <c r="P1211" s="899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96"/>
      <c r="E1212" s="677"/>
      <c r="F1212" s="677"/>
      <c r="G1212" s="677"/>
      <c r="H1212" s="897"/>
      <c r="I1212" s="898"/>
      <c r="J1212" s="898"/>
      <c r="K1212" s="899"/>
      <c r="L1212" s="899"/>
      <c r="M1212" s="899"/>
      <c r="N1212" s="899"/>
      <c r="O1212" s="899"/>
      <c r="P1212" s="899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96"/>
      <c r="E1213" s="677"/>
      <c r="F1213" s="677"/>
      <c r="G1213" s="677"/>
      <c r="H1213" s="897"/>
      <c r="I1213" s="898"/>
      <c r="J1213" s="898"/>
      <c r="K1213" s="899"/>
      <c r="L1213" s="899"/>
      <c r="M1213" s="899"/>
      <c r="N1213" s="899"/>
      <c r="O1213" s="899"/>
      <c r="P1213" s="899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96"/>
      <c r="E1214" s="677"/>
      <c r="F1214" s="677"/>
      <c r="G1214" s="677"/>
      <c r="H1214" s="897"/>
      <c r="I1214" s="898"/>
      <c r="J1214" s="898"/>
      <c r="K1214" s="899"/>
      <c r="L1214" s="899"/>
      <c r="M1214" s="899"/>
      <c r="N1214" s="899"/>
      <c r="O1214" s="899"/>
      <c r="P1214" s="899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96"/>
      <c r="E1215" s="677"/>
      <c r="F1215" s="677"/>
      <c r="G1215" s="677"/>
      <c r="H1215" s="897"/>
      <c r="I1215" s="898"/>
      <c r="J1215" s="898"/>
      <c r="K1215" s="899"/>
      <c r="L1215" s="899"/>
      <c r="M1215" s="899"/>
      <c r="N1215" s="899"/>
      <c r="O1215" s="899"/>
      <c r="P1215" s="899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96"/>
      <c r="E1216" s="677"/>
      <c r="F1216" s="677"/>
      <c r="G1216" s="677"/>
      <c r="H1216" s="897"/>
      <c r="I1216" s="898"/>
      <c r="J1216" s="898"/>
      <c r="K1216" s="899"/>
      <c r="L1216" s="899"/>
      <c r="M1216" s="899"/>
      <c r="N1216" s="899"/>
      <c r="O1216" s="899"/>
      <c r="P1216" s="899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96"/>
      <c r="E1217" s="677"/>
      <c r="F1217" s="677"/>
      <c r="G1217" s="677"/>
      <c r="H1217" s="897"/>
      <c r="I1217" s="898"/>
      <c r="J1217" s="898"/>
      <c r="K1217" s="899"/>
      <c r="L1217" s="899"/>
      <c r="M1217" s="899"/>
      <c r="N1217" s="899"/>
      <c r="O1217" s="899"/>
      <c r="P1217" s="899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96"/>
      <c r="E1218" s="677"/>
      <c r="F1218" s="677"/>
      <c r="G1218" s="677"/>
      <c r="H1218" s="897"/>
      <c r="I1218" s="898"/>
      <c r="J1218" s="898"/>
      <c r="K1218" s="899"/>
      <c r="L1218" s="899"/>
      <c r="M1218" s="899"/>
      <c r="N1218" s="899"/>
      <c r="O1218" s="899"/>
      <c r="P1218" s="899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96"/>
      <c r="E1219" s="677"/>
      <c r="F1219" s="677"/>
      <c r="G1219" s="677"/>
      <c r="H1219" s="897"/>
      <c r="I1219" s="898"/>
      <c r="J1219" s="898"/>
      <c r="K1219" s="899"/>
      <c r="L1219" s="899"/>
      <c r="M1219" s="899"/>
      <c r="N1219" s="899"/>
      <c r="O1219" s="899"/>
      <c r="P1219" s="899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96"/>
      <c r="E1220" s="677"/>
      <c r="F1220" s="677"/>
      <c r="G1220" s="677"/>
      <c r="H1220" s="897"/>
      <c r="I1220" s="898"/>
      <c r="J1220" s="898"/>
      <c r="K1220" s="899"/>
      <c r="L1220" s="899"/>
      <c r="M1220" s="899"/>
      <c r="N1220" s="899"/>
      <c r="O1220" s="899"/>
      <c r="P1220" s="899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96"/>
      <c r="E1221" s="677"/>
      <c r="F1221" s="677"/>
      <c r="G1221" s="677"/>
      <c r="H1221" s="897"/>
      <c r="I1221" s="898"/>
      <c r="J1221" s="898"/>
      <c r="K1221" s="899"/>
      <c r="L1221" s="899"/>
      <c r="M1221" s="899"/>
      <c r="N1221" s="899"/>
      <c r="O1221" s="899"/>
      <c r="P1221" s="899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96"/>
      <c r="E1222" s="677"/>
      <c r="F1222" s="677"/>
      <c r="G1222" s="677"/>
      <c r="H1222" s="897"/>
      <c r="I1222" s="898"/>
      <c r="J1222" s="898"/>
      <c r="K1222" s="899"/>
      <c r="L1222" s="899"/>
      <c r="M1222" s="899"/>
      <c r="N1222" s="899"/>
      <c r="O1222" s="899"/>
      <c r="P1222" s="899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96"/>
      <c r="E1223" s="677"/>
      <c r="F1223" s="677"/>
      <c r="G1223" s="677"/>
      <c r="H1223" s="897"/>
      <c r="I1223" s="898"/>
      <c r="J1223" s="898"/>
      <c r="K1223" s="899"/>
      <c r="L1223" s="899"/>
      <c r="M1223" s="899"/>
      <c r="N1223" s="899"/>
      <c r="O1223" s="899"/>
      <c r="P1223" s="899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96"/>
      <c r="E1224" s="677"/>
      <c r="F1224" s="677"/>
      <c r="G1224" s="677"/>
      <c r="H1224" s="897"/>
      <c r="I1224" s="898"/>
      <c r="J1224" s="898"/>
      <c r="K1224" s="899"/>
      <c r="L1224" s="899"/>
      <c r="M1224" s="899"/>
      <c r="N1224" s="899"/>
      <c r="O1224" s="899"/>
      <c r="P1224" s="899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96"/>
      <c r="E1225" s="677"/>
      <c r="F1225" s="677"/>
      <c r="G1225" s="677"/>
      <c r="H1225" s="897"/>
      <c r="I1225" s="898"/>
      <c r="J1225" s="898"/>
      <c r="K1225" s="899"/>
      <c r="L1225" s="899"/>
      <c r="M1225" s="899"/>
      <c r="N1225" s="899"/>
      <c r="O1225" s="899"/>
      <c r="P1225" s="899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96"/>
      <c r="E1226" s="677"/>
      <c r="F1226" s="677"/>
      <c r="G1226" s="677"/>
      <c r="H1226" s="897"/>
      <c r="I1226" s="898"/>
      <c r="J1226" s="898"/>
      <c r="K1226" s="899"/>
      <c r="L1226" s="899"/>
      <c r="M1226" s="899"/>
      <c r="N1226" s="899"/>
      <c r="O1226" s="899"/>
      <c r="P1226" s="899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96"/>
      <c r="E1227" s="677"/>
      <c r="F1227" s="677"/>
      <c r="G1227" s="677"/>
      <c r="H1227" s="897"/>
      <c r="I1227" s="898"/>
      <c r="J1227" s="898"/>
      <c r="K1227" s="899"/>
      <c r="L1227" s="899"/>
      <c r="M1227" s="899"/>
      <c r="N1227" s="899"/>
      <c r="O1227" s="899"/>
      <c r="P1227" s="899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96"/>
      <c r="E1228" s="677"/>
      <c r="F1228" s="677"/>
      <c r="G1228" s="677"/>
      <c r="H1228" s="897"/>
      <c r="I1228" s="898"/>
      <c r="J1228" s="898"/>
      <c r="K1228" s="899"/>
      <c r="L1228" s="899"/>
      <c r="M1228" s="899"/>
      <c r="N1228" s="899"/>
      <c r="O1228" s="899"/>
      <c r="P1228" s="899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96"/>
      <c r="E1229" s="677"/>
      <c r="F1229" s="677"/>
      <c r="G1229" s="677"/>
      <c r="H1229" s="897"/>
      <c r="I1229" s="898"/>
      <c r="J1229" s="898"/>
      <c r="K1229" s="899"/>
      <c r="L1229" s="899"/>
      <c r="M1229" s="899"/>
      <c r="N1229" s="899"/>
      <c r="O1229" s="899"/>
      <c r="P1229" s="899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96"/>
      <c r="E1230" s="677"/>
      <c r="F1230" s="677"/>
      <c r="G1230" s="677"/>
      <c r="H1230" s="897"/>
      <c r="I1230" s="898"/>
      <c r="J1230" s="898"/>
      <c r="K1230" s="899"/>
      <c r="L1230" s="899"/>
      <c r="M1230" s="899"/>
      <c r="N1230" s="899"/>
      <c r="O1230" s="899"/>
      <c r="P1230" s="899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96"/>
      <c r="E1231" s="677"/>
      <c r="F1231" s="677"/>
      <c r="G1231" s="677"/>
      <c r="H1231" s="897"/>
      <c r="I1231" s="898"/>
      <c r="J1231" s="898"/>
      <c r="K1231" s="899"/>
      <c r="L1231" s="899"/>
      <c r="M1231" s="899"/>
      <c r="N1231" s="899"/>
      <c r="O1231" s="899"/>
      <c r="P1231" s="899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96"/>
      <c r="E1232" s="677"/>
      <c r="F1232" s="677"/>
      <c r="G1232" s="677"/>
      <c r="H1232" s="897"/>
      <c r="I1232" s="898"/>
      <c r="J1232" s="898"/>
      <c r="K1232" s="899"/>
      <c r="L1232" s="899"/>
      <c r="M1232" s="899"/>
      <c r="N1232" s="899"/>
      <c r="O1232" s="899"/>
      <c r="P1232" s="899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96"/>
      <c r="E1233" s="677"/>
      <c r="F1233" s="677"/>
      <c r="G1233" s="677"/>
      <c r="H1233" s="897"/>
      <c r="I1233" s="898"/>
      <c r="J1233" s="898"/>
      <c r="K1233" s="899"/>
      <c r="L1233" s="899"/>
      <c r="M1233" s="899"/>
      <c r="N1233" s="899"/>
      <c r="O1233" s="899"/>
      <c r="P1233" s="899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96"/>
      <c r="E1234" s="677"/>
      <c r="F1234" s="677"/>
      <c r="G1234" s="677"/>
      <c r="H1234" s="897"/>
      <c r="I1234" s="898"/>
      <c r="J1234" s="898"/>
      <c r="K1234" s="899"/>
      <c r="L1234" s="899"/>
      <c r="M1234" s="899"/>
      <c r="N1234" s="899"/>
      <c r="O1234" s="899"/>
      <c r="P1234" s="899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96"/>
      <c r="E1235" s="677"/>
      <c r="F1235" s="677"/>
      <c r="G1235" s="677"/>
      <c r="H1235" s="897"/>
      <c r="I1235" s="898"/>
      <c r="J1235" s="898"/>
      <c r="K1235" s="899"/>
      <c r="L1235" s="899"/>
      <c r="M1235" s="899"/>
      <c r="N1235" s="899"/>
      <c r="O1235" s="899"/>
      <c r="P1235" s="899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96"/>
      <c r="E1236" s="677"/>
      <c r="F1236" s="677"/>
      <c r="G1236" s="677"/>
      <c r="H1236" s="897"/>
      <c r="I1236" s="898"/>
      <c r="J1236" s="898"/>
      <c r="K1236" s="899"/>
      <c r="L1236" s="899"/>
      <c r="M1236" s="899"/>
      <c r="N1236" s="899"/>
      <c r="O1236" s="899"/>
      <c r="P1236" s="899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96"/>
      <c r="E1237" s="677"/>
      <c r="F1237" s="677"/>
      <c r="G1237" s="677"/>
      <c r="H1237" s="897"/>
      <c r="I1237" s="898"/>
      <c r="J1237" s="898"/>
      <c r="K1237" s="899"/>
      <c r="L1237" s="899"/>
      <c r="M1237" s="899"/>
      <c r="N1237" s="899"/>
      <c r="O1237" s="899"/>
      <c r="P1237" s="899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96"/>
      <c r="E1238" s="677"/>
      <c r="F1238" s="677"/>
      <c r="G1238" s="677"/>
      <c r="H1238" s="897"/>
      <c r="I1238" s="898"/>
      <c r="J1238" s="898"/>
      <c r="K1238" s="899"/>
      <c r="L1238" s="899"/>
      <c r="M1238" s="899"/>
      <c r="N1238" s="899"/>
      <c r="O1238" s="899"/>
      <c r="P1238" s="899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96"/>
      <c r="E1239" s="677"/>
      <c r="F1239" s="677"/>
      <c r="G1239" s="677"/>
      <c r="H1239" s="897"/>
      <c r="I1239" s="898"/>
      <c r="J1239" s="898"/>
      <c r="K1239" s="899"/>
      <c r="L1239" s="899"/>
      <c r="M1239" s="899"/>
      <c r="N1239" s="899"/>
      <c r="O1239" s="899"/>
      <c r="P1239" s="899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96"/>
      <c r="E1240" s="677"/>
      <c r="F1240" s="677"/>
      <c r="G1240" s="677"/>
      <c r="H1240" s="897"/>
      <c r="I1240" s="898"/>
      <c r="J1240" s="898"/>
      <c r="K1240" s="899"/>
      <c r="L1240" s="899"/>
      <c r="M1240" s="899"/>
      <c r="N1240" s="899"/>
      <c r="O1240" s="899"/>
      <c r="P1240" s="899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96"/>
      <c r="E1241" s="677"/>
      <c r="F1241" s="677"/>
      <c r="G1241" s="677"/>
      <c r="H1241" s="897"/>
      <c r="I1241" s="898"/>
      <c r="J1241" s="898"/>
      <c r="K1241" s="899"/>
      <c r="L1241" s="899"/>
      <c r="M1241" s="899"/>
      <c r="N1241" s="899"/>
      <c r="O1241" s="899"/>
      <c r="P1241" s="899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96"/>
      <c r="E1242" s="677"/>
      <c r="F1242" s="677"/>
      <c r="G1242" s="677"/>
      <c r="H1242" s="897"/>
      <c r="I1242" s="898"/>
      <c r="J1242" s="898"/>
      <c r="K1242" s="899"/>
      <c r="L1242" s="899"/>
      <c r="M1242" s="899"/>
      <c r="N1242" s="899"/>
      <c r="O1242" s="899"/>
      <c r="P1242" s="899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96"/>
      <c r="E1243" s="677"/>
      <c r="F1243" s="677"/>
      <c r="G1243" s="677"/>
      <c r="H1243" s="897"/>
      <c r="I1243" s="898"/>
      <c r="J1243" s="898"/>
      <c r="K1243" s="899"/>
      <c r="L1243" s="899"/>
      <c r="M1243" s="899"/>
      <c r="N1243" s="899"/>
      <c r="O1243" s="899"/>
      <c r="P1243" s="899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96"/>
      <c r="E1244" s="677"/>
      <c r="F1244" s="677"/>
      <c r="G1244" s="677"/>
      <c r="H1244" s="897"/>
      <c r="I1244" s="898"/>
      <c r="J1244" s="898"/>
      <c r="K1244" s="899"/>
      <c r="L1244" s="899"/>
      <c r="M1244" s="899"/>
      <c r="N1244" s="899"/>
      <c r="O1244" s="899"/>
      <c r="P1244" s="899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96"/>
      <c r="E1245" s="677"/>
      <c r="F1245" s="677"/>
      <c r="G1245" s="677"/>
      <c r="H1245" s="897"/>
      <c r="I1245" s="898"/>
      <c r="J1245" s="898"/>
      <c r="K1245" s="899"/>
      <c r="L1245" s="899"/>
      <c r="M1245" s="899"/>
      <c r="N1245" s="899"/>
      <c r="O1245" s="899"/>
      <c r="P1245" s="899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96"/>
      <c r="E1246" s="677"/>
      <c r="F1246" s="677"/>
      <c r="G1246" s="677"/>
      <c r="H1246" s="897"/>
      <c r="I1246" s="898"/>
      <c r="J1246" s="898"/>
      <c r="K1246" s="899"/>
      <c r="L1246" s="899"/>
      <c r="M1246" s="899"/>
      <c r="N1246" s="899"/>
      <c r="O1246" s="899"/>
      <c r="P1246" s="899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96"/>
      <c r="E1247" s="677"/>
      <c r="F1247" s="677"/>
      <c r="G1247" s="677"/>
      <c r="H1247" s="897"/>
      <c r="I1247" s="898"/>
      <c r="J1247" s="898"/>
      <c r="K1247" s="899"/>
      <c r="L1247" s="899"/>
      <c r="M1247" s="899"/>
      <c r="N1247" s="899"/>
      <c r="O1247" s="899"/>
      <c r="P1247" s="899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96"/>
      <c r="E1248" s="677"/>
      <c r="F1248" s="677"/>
      <c r="G1248" s="677"/>
      <c r="H1248" s="897"/>
      <c r="I1248" s="898"/>
      <c r="J1248" s="898"/>
      <c r="K1248" s="899"/>
      <c r="L1248" s="899"/>
      <c r="M1248" s="899"/>
      <c r="N1248" s="899"/>
      <c r="O1248" s="899"/>
      <c r="P1248" s="899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96"/>
      <c r="E1249" s="677"/>
      <c r="F1249" s="677"/>
      <c r="G1249" s="677"/>
      <c r="H1249" s="897"/>
      <c r="I1249" s="898"/>
      <c r="J1249" s="898"/>
      <c r="K1249" s="899"/>
      <c r="L1249" s="899"/>
      <c r="M1249" s="899"/>
      <c r="N1249" s="899"/>
      <c r="O1249" s="899"/>
      <c r="P1249" s="899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96"/>
      <c r="E1250" s="677"/>
      <c r="F1250" s="677"/>
      <c r="G1250" s="677"/>
      <c r="H1250" s="897"/>
      <c r="I1250" s="898"/>
      <c r="J1250" s="898"/>
      <c r="K1250" s="899"/>
      <c r="L1250" s="899"/>
      <c r="M1250" s="899"/>
      <c r="N1250" s="899"/>
      <c r="O1250" s="899"/>
      <c r="P1250" s="899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96"/>
      <c r="E1251" s="677"/>
      <c r="F1251" s="677"/>
      <c r="G1251" s="677"/>
      <c r="H1251" s="897"/>
      <c r="I1251" s="898"/>
      <c r="J1251" s="898"/>
      <c r="K1251" s="899"/>
      <c r="L1251" s="899"/>
      <c r="M1251" s="899"/>
      <c r="N1251" s="899"/>
      <c r="O1251" s="899"/>
      <c r="P1251" s="899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96"/>
      <c r="E1252" s="677"/>
      <c r="F1252" s="677"/>
      <c r="G1252" s="677"/>
      <c r="H1252" s="897"/>
      <c r="I1252" s="898"/>
      <c r="J1252" s="898"/>
      <c r="K1252" s="899"/>
      <c r="L1252" s="899"/>
      <c r="M1252" s="899"/>
      <c r="N1252" s="899"/>
      <c r="O1252" s="899"/>
      <c r="P1252" s="899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96"/>
      <c r="E1253" s="677"/>
      <c r="F1253" s="677"/>
      <c r="G1253" s="677"/>
      <c r="H1253" s="897"/>
      <c r="I1253" s="898"/>
      <c r="J1253" s="898"/>
      <c r="K1253" s="899"/>
      <c r="L1253" s="899"/>
      <c r="M1253" s="899"/>
      <c r="N1253" s="899"/>
      <c r="O1253" s="899"/>
      <c r="P1253" s="899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96"/>
      <c r="E1254" s="677"/>
      <c r="F1254" s="677"/>
      <c r="G1254" s="677"/>
      <c r="H1254" s="897"/>
      <c r="I1254" s="898"/>
      <c r="J1254" s="898"/>
      <c r="K1254" s="899"/>
      <c r="L1254" s="899"/>
      <c r="M1254" s="899"/>
      <c r="N1254" s="899"/>
      <c r="O1254" s="899"/>
      <c r="P1254" s="899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96"/>
      <c r="E1255" s="677"/>
      <c r="F1255" s="677"/>
      <c r="G1255" s="677"/>
      <c r="H1255" s="897"/>
      <c r="I1255" s="898"/>
      <c r="J1255" s="898"/>
      <c r="K1255" s="899"/>
      <c r="L1255" s="899"/>
      <c r="M1255" s="899"/>
      <c r="N1255" s="899"/>
      <c r="O1255" s="899"/>
      <c r="P1255" s="899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96"/>
      <c r="E1256" s="677"/>
      <c r="F1256" s="677"/>
      <c r="G1256" s="677"/>
      <c r="H1256" s="897"/>
      <c r="I1256" s="898"/>
      <c r="J1256" s="898"/>
      <c r="K1256" s="899"/>
      <c r="L1256" s="899"/>
      <c r="M1256" s="899"/>
      <c r="N1256" s="899"/>
      <c r="O1256" s="899"/>
      <c r="P1256" s="899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96"/>
      <c r="E1257" s="677"/>
      <c r="F1257" s="677"/>
      <c r="G1257" s="677"/>
      <c r="H1257" s="897"/>
      <c r="I1257" s="898"/>
      <c r="J1257" s="898"/>
      <c r="K1257" s="899"/>
      <c r="L1257" s="899"/>
      <c r="M1257" s="899"/>
      <c r="N1257" s="899"/>
      <c r="O1257" s="899"/>
      <c r="P1257" s="899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96"/>
      <c r="E1258" s="677"/>
      <c r="F1258" s="677"/>
      <c r="G1258" s="677"/>
      <c r="H1258" s="897"/>
      <c r="I1258" s="898"/>
      <c r="J1258" s="898"/>
      <c r="K1258" s="899"/>
      <c r="L1258" s="899"/>
      <c r="M1258" s="899"/>
      <c r="N1258" s="899"/>
      <c r="O1258" s="899"/>
      <c r="P1258" s="899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96"/>
      <c r="E1259" s="677"/>
      <c r="F1259" s="677"/>
      <c r="G1259" s="677"/>
      <c r="H1259" s="897"/>
      <c r="I1259" s="898"/>
      <c r="J1259" s="898"/>
      <c r="K1259" s="899"/>
      <c r="L1259" s="899"/>
      <c r="M1259" s="899"/>
      <c r="N1259" s="899"/>
      <c r="O1259" s="899"/>
      <c r="P1259" s="899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96"/>
      <c r="E1260" s="677"/>
      <c r="F1260" s="677"/>
      <c r="G1260" s="677"/>
      <c r="H1260" s="897"/>
      <c r="I1260" s="898"/>
      <c r="J1260" s="898"/>
      <c r="K1260" s="899"/>
      <c r="L1260" s="899"/>
      <c r="M1260" s="899"/>
      <c r="N1260" s="899"/>
      <c r="O1260" s="899"/>
      <c r="P1260" s="899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96"/>
      <c r="E1261" s="677"/>
      <c r="F1261" s="677"/>
      <c r="G1261" s="677"/>
      <c r="H1261" s="897"/>
      <c r="I1261" s="898"/>
      <c r="J1261" s="898"/>
      <c r="K1261" s="899"/>
      <c r="L1261" s="899"/>
      <c r="M1261" s="899"/>
      <c r="N1261" s="899"/>
      <c r="O1261" s="899"/>
      <c r="P1261" s="899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96"/>
      <c r="E1262" s="677"/>
      <c r="F1262" s="677"/>
      <c r="G1262" s="677"/>
      <c r="H1262" s="897"/>
      <c r="I1262" s="898"/>
      <c r="J1262" s="898"/>
      <c r="K1262" s="899"/>
      <c r="L1262" s="899"/>
      <c r="M1262" s="899"/>
      <c r="N1262" s="899"/>
      <c r="O1262" s="899"/>
      <c r="P1262" s="899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96"/>
      <c r="E1263" s="677"/>
      <c r="F1263" s="677"/>
      <c r="G1263" s="677"/>
      <c r="H1263" s="897"/>
      <c r="I1263" s="898"/>
      <c r="J1263" s="898"/>
      <c r="K1263" s="899"/>
      <c r="L1263" s="899"/>
      <c r="M1263" s="899"/>
      <c r="N1263" s="899"/>
      <c r="O1263" s="899"/>
      <c r="P1263" s="899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96"/>
      <c r="E1264" s="677"/>
      <c r="F1264" s="677"/>
      <c r="G1264" s="677"/>
      <c r="H1264" s="897"/>
      <c r="I1264" s="898"/>
      <c r="J1264" s="898"/>
      <c r="K1264" s="899"/>
      <c r="L1264" s="899"/>
      <c r="M1264" s="899"/>
      <c r="N1264" s="899"/>
      <c r="O1264" s="899"/>
      <c r="P1264" s="899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96"/>
      <c r="E1265" s="677"/>
      <c r="F1265" s="677"/>
      <c r="G1265" s="677"/>
      <c r="H1265" s="897"/>
      <c r="I1265" s="898"/>
      <c r="J1265" s="898"/>
      <c r="K1265" s="899"/>
      <c r="L1265" s="899"/>
      <c r="M1265" s="899"/>
      <c r="N1265" s="899"/>
      <c r="O1265" s="899"/>
      <c r="P1265" s="899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96"/>
      <c r="E1266" s="677"/>
      <c r="F1266" s="677"/>
      <c r="G1266" s="677"/>
      <c r="H1266" s="897"/>
      <c r="I1266" s="898"/>
      <c r="J1266" s="898"/>
      <c r="K1266" s="899"/>
      <c r="L1266" s="899"/>
      <c r="M1266" s="899"/>
      <c r="N1266" s="899"/>
      <c r="O1266" s="899"/>
      <c r="P1266" s="899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96"/>
      <c r="E1267" s="677"/>
      <c r="F1267" s="677"/>
      <c r="G1267" s="677"/>
      <c r="H1267" s="897"/>
      <c r="I1267" s="898"/>
      <c r="J1267" s="898"/>
      <c r="K1267" s="899"/>
      <c r="L1267" s="899"/>
      <c r="M1267" s="899"/>
      <c r="N1267" s="899"/>
      <c r="O1267" s="899"/>
      <c r="P1267" s="899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96"/>
      <c r="E1268" s="677"/>
      <c r="F1268" s="677"/>
      <c r="G1268" s="677"/>
      <c r="H1268" s="897"/>
      <c r="I1268" s="898"/>
      <c r="J1268" s="898"/>
      <c r="K1268" s="899"/>
      <c r="L1268" s="899"/>
      <c r="M1268" s="899"/>
      <c r="N1268" s="899"/>
      <c r="O1268" s="899"/>
      <c r="P1268" s="899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96"/>
      <c r="E1269" s="677"/>
      <c r="F1269" s="677"/>
      <c r="G1269" s="677"/>
      <c r="H1269" s="897"/>
      <c r="I1269" s="898"/>
      <c r="J1269" s="898"/>
      <c r="K1269" s="899"/>
      <c r="L1269" s="899"/>
      <c r="M1269" s="899"/>
      <c r="N1269" s="899"/>
      <c r="O1269" s="899"/>
      <c r="P1269" s="899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96"/>
      <c r="E1270" s="677"/>
      <c r="F1270" s="677"/>
      <c r="G1270" s="677"/>
      <c r="H1270" s="897"/>
      <c r="I1270" s="898"/>
      <c r="J1270" s="898"/>
      <c r="K1270" s="899"/>
      <c r="L1270" s="899"/>
      <c r="M1270" s="899"/>
      <c r="N1270" s="899"/>
      <c r="O1270" s="899"/>
      <c r="P1270" s="899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96"/>
      <c r="E1271" s="677"/>
      <c r="F1271" s="677"/>
      <c r="G1271" s="677"/>
      <c r="H1271" s="897"/>
      <c r="I1271" s="898"/>
      <c r="J1271" s="898"/>
      <c r="K1271" s="899"/>
      <c r="L1271" s="899"/>
      <c r="M1271" s="899"/>
      <c r="N1271" s="899"/>
      <c r="O1271" s="899"/>
      <c r="P1271" s="899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96"/>
      <c r="E1272" s="677"/>
      <c r="F1272" s="677"/>
      <c r="G1272" s="677"/>
      <c r="H1272" s="897"/>
      <c r="I1272" s="898"/>
      <c r="J1272" s="898"/>
      <c r="K1272" s="899"/>
      <c r="L1272" s="899"/>
      <c r="M1272" s="899"/>
      <c r="N1272" s="899"/>
      <c r="O1272" s="899"/>
      <c r="P1272" s="899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96"/>
      <c r="E1273" s="677"/>
      <c r="F1273" s="677"/>
      <c r="G1273" s="677"/>
      <c r="H1273" s="897"/>
      <c r="I1273" s="898"/>
      <c r="J1273" s="898"/>
      <c r="K1273" s="899"/>
      <c r="L1273" s="899"/>
      <c r="M1273" s="899"/>
      <c r="N1273" s="899"/>
      <c r="O1273" s="899"/>
      <c r="P1273" s="899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96"/>
      <c r="E1274" s="677"/>
      <c r="F1274" s="677"/>
      <c r="G1274" s="677"/>
      <c r="H1274" s="897"/>
      <c r="I1274" s="898"/>
      <c r="J1274" s="898"/>
      <c r="K1274" s="899"/>
      <c r="L1274" s="899"/>
      <c r="M1274" s="899"/>
      <c r="N1274" s="899"/>
      <c r="O1274" s="899"/>
      <c r="P1274" s="899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96"/>
      <c r="E1275" s="677"/>
      <c r="F1275" s="677"/>
      <c r="G1275" s="677"/>
      <c r="H1275" s="897"/>
      <c r="I1275" s="898"/>
      <c r="J1275" s="898"/>
      <c r="K1275" s="899"/>
      <c r="L1275" s="899"/>
      <c r="M1275" s="899"/>
      <c r="N1275" s="899"/>
      <c r="O1275" s="899"/>
      <c r="P1275" s="899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96"/>
      <c r="E1276" s="677"/>
      <c r="F1276" s="677"/>
      <c r="G1276" s="677"/>
      <c r="H1276" s="897"/>
      <c r="I1276" s="898"/>
      <c r="J1276" s="898"/>
      <c r="K1276" s="899"/>
      <c r="L1276" s="899"/>
      <c r="M1276" s="899"/>
      <c r="N1276" s="899"/>
      <c r="O1276" s="899"/>
      <c r="P1276" s="899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96"/>
      <c r="E1277" s="677"/>
      <c r="F1277" s="677"/>
      <c r="G1277" s="677"/>
      <c r="H1277" s="897"/>
      <c r="I1277" s="898"/>
      <c r="J1277" s="898"/>
      <c r="K1277" s="899"/>
      <c r="L1277" s="899"/>
      <c r="M1277" s="899"/>
      <c r="N1277" s="899"/>
      <c r="O1277" s="899"/>
      <c r="P1277" s="899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96"/>
      <c r="E1278" s="677"/>
      <c r="F1278" s="677"/>
      <c r="G1278" s="677"/>
      <c r="H1278" s="897"/>
      <c r="I1278" s="898"/>
      <c r="J1278" s="898"/>
      <c r="K1278" s="899"/>
      <c r="L1278" s="899"/>
      <c r="M1278" s="899"/>
      <c r="N1278" s="899"/>
      <c r="O1278" s="899"/>
      <c r="P1278" s="899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96"/>
      <c r="E1279" s="677"/>
      <c r="F1279" s="677"/>
      <c r="G1279" s="677"/>
      <c r="H1279" s="897"/>
      <c r="I1279" s="898"/>
      <c r="J1279" s="898"/>
      <c r="K1279" s="899"/>
      <c r="L1279" s="899"/>
      <c r="M1279" s="899"/>
      <c r="N1279" s="899"/>
      <c r="O1279" s="899"/>
      <c r="P1279" s="899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96"/>
      <c r="E1280" s="677"/>
      <c r="F1280" s="677"/>
      <c r="G1280" s="677"/>
      <c r="H1280" s="897"/>
      <c r="I1280" s="898"/>
      <c r="J1280" s="898"/>
      <c r="K1280" s="899"/>
      <c r="L1280" s="899"/>
      <c r="M1280" s="899"/>
      <c r="N1280" s="899"/>
      <c r="O1280" s="899"/>
      <c r="P1280" s="899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96"/>
      <c r="E1281" s="677"/>
      <c r="F1281" s="677"/>
      <c r="G1281" s="677"/>
      <c r="H1281" s="897"/>
      <c r="I1281" s="898"/>
      <c r="J1281" s="898"/>
      <c r="K1281" s="899"/>
      <c r="L1281" s="899"/>
      <c r="M1281" s="899"/>
      <c r="N1281" s="899"/>
      <c r="O1281" s="899"/>
      <c r="P1281" s="899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96"/>
      <c r="E1282" s="677"/>
      <c r="F1282" s="677"/>
      <c r="G1282" s="677"/>
      <c r="H1282" s="897"/>
      <c r="I1282" s="898"/>
      <c r="J1282" s="898"/>
      <c r="K1282" s="899"/>
      <c r="L1282" s="899"/>
      <c r="M1282" s="899"/>
      <c r="N1282" s="899"/>
      <c r="O1282" s="899"/>
      <c r="P1282" s="899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96"/>
      <c r="E1283" s="677"/>
      <c r="F1283" s="677"/>
      <c r="G1283" s="677"/>
      <c r="H1283" s="897"/>
      <c r="I1283" s="898"/>
      <c r="J1283" s="898"/>
      <c r="K1283" s="899"/>
      <c r="L1283" s="899"/>
      <c r="M1283" s="899"/>
      <c r="N1283" s="899"/>
      <c r="O1283" s="899"/>
      <c r="P1283" s="899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96"/>
      <c r="E1284" s="677"/>
      <c r="F1284" s="677"/>
      <c r="G1284" s="677"/>
      <c r="H1284" s="897"/>
      <c r="I1284" s="898"/>
      <c r="J1284" s="898"/>
      <c r="K1284" s="899"/>
      <c r="L1284" s="899"/>
      <c r="M1284" s="899"/>
      <c r="N1284" s="899"/>
      <c r="O1284" s="899"/>
      <c r="P1284" s="899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96"/>
      <c r="E1285" s="677"/>
      <c r="F1285" s="677"/>
      <c r="G1285" s="677"/>
      <c r="H1285" s="897"/>
      <c r="I1285" s="898"/>
      <c r="J1285" s="898"/>
      <c r="K1285" s="899"/>
      <c r="L1285" s="899"/>
      <c r="M1285" s="899"/>
      <c r="N1285" s="899"/>
      <c r="O1285" s="899"/>
      <c r="P1285" s="899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96"/>
      <c r="E1286" s="677"/>
      <c r="F1286" s="677"/>
      <c r="G1286" s="677"/>
      <c r="H1286" s="897"/>
      <c r="I1286" s="898"/>
      <c r="J1286" s="898"/>
      <c r="K1286" s="899"/>
      <c r="L1286" s="899"/>
      <c r="M1286" s="899"/>
      <c r="N1286" s="899"/>
      <c r="O1286" s="899"/>
      <c r="P1286" s="899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96"/>
      <c r="E1287" s="677"/>
      <c r="F1287" s="677"/>
      <c r="G1287" s="677"/>
      <c r="H1287" s="897"/>
      <c r="I1287" s="898"/>
      <c r="J1287" s="898"/>
      <c r="K1287" s="899"/>
      <c r="L1287" s="899"/>
      <c r="M1287" s="899"/>
      <c r="N1287" s="899"/>
      <c r="O1287" s="899"/>
      <c r="P1287" s="899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96"/>
      <c r="E1288" s="677"/>
      <c r="F1288" s="677"/>
      <c r="G1288" s="677"/>
      <c r="H1288" s="897"/>
      <c r="I1288" s="898"/>
      <c r="J1288" s="898"/>
      <c r="K1288" s="899"/>
      <c r="L1288" s="899"/>
      <c r="M1288" s="899"/>
      <c r="N1288" s="899"/>
      <c r="O1288" s="899"/>
      <c r="P1288" s="899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96"/>
      <c r="E1289" s="677"/>
      <c r="F1289" s="677"/>
      <c r="G1289" s="677"/>
      <c r="H1289" s="897"/>
      <c r="I1289" s="898"/>
      <c r="J1289" s="898"/>
      <c r="K1289" s="899"/>
      <c r="L1289" s="899"/>
      <c r="M1289" s="899"/>
      <c r="N1289" s="899"/>
      <c r="O1289" s="899"/>
      <c r="P1289" s="899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96"/>
      <c r="E1290" s="677"/>
      <c r="F1290" s="677"/>
      <c r="G1290" s="677"/>
      <c r="H1290" s="897"/>
      <c r="I1290" s="898"/>
      <c r="J1290" s="898"/>
      <c r="K1290" s="899"/>
      <c r="L1290" s="899"/>
      <c r="M1290" s="899"/>
      <c r="N1290" s="899"/>
      <c r="O1290" s="899"/>
      <c r="P1290" s="899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96"/>
      <c r="E1291" s="677"/>
      <c r="F1291" s="677"/>
      <c r="G1291" s="677"/>
      <c r="H1291" s="897"/>
      <c r="I1291" s="898"/>
      <c r="J1291" s="898"/>
      <c r="K1291" s="899"/>
      <c r="L1291" s="899"/>
      <c r="M1291" s="899"/>
      <c r="N1291" s="899"/>
      <c r="O1291" s="899"/>
      <c r="P1291" s="899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96"/>
      <c r="E1292" s="677"/>
      <c r="F1292" s="677"/>
      <c r="G1292" s="677"/>
      <c r="H1292" s="897"/>
      <c r="I1292" s="898"/>
      <c r="J1292" s="898"/>
      <c r="K1292" s="899"/>
      <c r="L1292" s="899"/>
      <c r="M1292" s="899"/>
      <c r="N1292" s="899"/>
      <c r="O1292" s="899"/>
      <c r="P1292" s="899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96"/>
      <c r="E1293" s="677"/>
      <c r="F1293" s="677"/>
      <c r="G1293" s="677"/>
      <c r="H1293" s="897"/>
      <c r="I1293" s="898"/>
      <c r="J1293" s="898"/>
      <c r="K1293" s="899"/>
      <c r="L1293" s="899"/>
      <c r="M1293" s="899"/>
      <c r="N1293" s="899"/>
      <c r="O1293" s="899"/>
      <c r="P1293" s="899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96"/>
      <c r="E1294" s="677"/>
      <c r="F1294" s="677"/>
      <c r="G1294" s="677"/>
      <c r="H1294" s="897"/>
      <c r="I1294" s="898"/>
      <c r="J1294" s="898"/>
      <c r="K1294" s="899"/>
      <c r="L1294" s="899"/>
      <c r="M1294" s="899"/>
      <c r="N1294" s="899"/>
      <c r="O1294" s="899"/>
      <c r="P1294" s="899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96"/>
      <c r="E1295" s="677"/>
      <c r="F1295" s="677"/>
      <c r="G1295" s="677"/>
      <c r="H1295" s="897"/>
      <c r="I1295" s="898"/>
      <c r="J1295" s="898"/>
      <c r="K1295" s="899"/>
      <c r="L1295" s="899"/>
      <c r="M1295" s="899"/>
      <c r="N1295" s="899"/>
      <c r="O1295" s="899"/>
      <c r="P1295" s="899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96"/>
      <c r="E1296" s="677"/>
      <c r="F1296" s="677"/>
      <c r="G1296" s="677"/>
      <c r="H1296" s="897"/>
      <c r="I1296" s="898"/>
      <c r="J1296" s="898"/>
      <c r="K1296" s="899"/>
      <c r="L1296" s="899"/>
      <c r="M1296" s="899"/>
      <c r="N1296" s="899"/>
      <c r="O1296" s="899"/>
      <c r="P1296" s="899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96"/>
      <c r="E1297" s="677"/>
      <c r="F1297" s="677"/>
      <c r="G1297" s="677"/>
      <c r="H1297" s="897"/>
      <c r="I1297" s="898"/>
      <c r="J1297" s="898"/>
      <c r="K1297" s="899"/>
      <c r="L1297" s="899"/>
      <c r="M1297" s="899"/>
      <c r="N1297" s="899"/>
      <c r="O1297" s="899"/>
      <c r="P1297" s="899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96"/>
      <c r="E1298" s="677"/>
      <c r="F1298" s="677"/>
      <c r="G1298" s="677"/>
      <c r="H1298" s="897"/>
      <c r="I1298" s="898"/>
      <c r="J1298" s="898"/>
      <c r="K1298" s="899"/>
      <c r="L1298" s="899"/>
      <c r="M1298" s="899"/>
      <c r="N1298" s="899"/>
      <c r="O1298" s="899"/>
      <c r="P1298" s="899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96"/>
      <c r="E1299" s="677"/>
      <c r="F1299" s="677"/>
      <c r="G1299" s="677"/>
      <c r="H1299" s="897"/>
      <c r="I1299" s="898"/>
      <c r="J1299" s="898"/>
      <c r="K1299" s="899"/>
      <c r="L1299" s="899"/>
      <c r="M1299" s="899"/>
      <c r="N1299" s="899"/>
      <c r="O1299" s="899"/>
      <c r="P1299" s="899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96"/>
      <c r="E1300" s="677"/>
      <c r="F1300" s="677"/>
      <c r="G1300" s="677"/>
      <c r="H1300" s="897"/>
      <c r="I1300" s="898"/>
      <c r="J1300" s="898"/>
      <c r="K1300" s="899"/>
      <c r="L1300" s="899"/>
      <c r="M1300" s="899"/>
      <c r="N1300" s="899"/>
      <c r="O1300" s="899"/>
      <c r="P1300" s="899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96"/>
      <c r="E1301" s="677"/>
      <c r="F1301" s="677"/>
      <c r="G1301" s="677"/>
      <c r="H1301" s="897"/>
      <c r="I1301" s="898"/>
      <c r="J1301" s="898"/>
      <c r="K1301" s="899"/>
      <c r="L1301" s="899"/>
      <c r="M1301" s="899"/>
      <c r="N1301" s="899"/>
      <c r="O1301" s="899"/>
      <c r="P1301" s="899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96"/>
      <c r="E1302" s="677"/>
      <c r="F1302" s="677"/>
      <c r="G1302" s="677"/>
      <c r="H1302" s="897"/>
      <c r="I1302" s="898"/>
      <c r="J1302" s="898"/>
      <c r="K1302" s="899"/>
      <c r="L1302" s="899"/>
      <c r="M1302" s="899"/>
      <c r="N1302" s="899"/>
      <c r="O1302" s="899"/>
      <c r="P1302" s="899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96"/>
      <c r="E1303" s="677"/>
      <c r="F1303" s="677"/>
      <c r="G1303" s="677"/>
      <c r="H1303" s="897"/>
      <c r="I1303" s="898"/>
      <c r="J1303" s="898"/>
      <c r="K1303" s="899"/>
      <c r="L1303" s="899"/>
      <c r="M1303" s="899"/>
      <c r="N1303" s="899"/>
      <c r="O1303" s="899"/>
      <c r="P1303" s="899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96"/>
      <c r="E1304" s="677"/>
      <c r="F1304" s="677"/>
      <c r="G1304" s="677"/>
      <c r="H1304" s="897"/>
      <c r="I1304" s="898"/>
      <c r="J1304" s="898"/>
      <c r="K1304" s="899"/>
      <c r="L1304" s="899"/>
      <c r="M1304" s="899"/>
      <c r="N1304" s="899"/>
      <c r="O1304" s="899"/>
      <c r="P1304" s="899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96"/>
      <c r="E1305" s="677"/>
      <c r="F1305" s="677"/>
      <c r="G1305" s="677"/>
      <c r="H1305" s="897"/>
      <c r="I1305" s="898"/>
      <c r="J1305" s="898"/>
      <c r="K1305" s="899"/>
      <c r="L1305" s="899"/>
      <c r="M1305" s="899"/>
      <c r="N1305" s="899"/>
      <c r="O1305" s="899"/>
      <c r="P1305" s="899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96"/>
      <c r="E1306" s="677"/>
      <c r="F1306" s="677"/>
      <c r="G1306" s="677"/>
      <c r="H1306" s="897"/>
      <c r="I1306" s="898"/>
      <c r="J1306" s="898"/>
      <c r="K1306" s="899"/>
      <c r="L1306" s="899"/>
      <c r="M1306" s="899"/>
      <c r="N1306" s="899"/>
      <c r="O1306" s="899"/>
      <c r="P1306" s="899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96"/>
      <c r="E1307" s="677"/>
      <c r="F1307" s="677"/>
      <c r="G1307" s="677"/>
      <c r="H1307" s="897"/>
      <c r="I1307" s="898"/>
      <c r="J1307" s="898"/>
      <c r="K1307" s="899"/>
      <c r="L1307" s="899"/>
      <c r="M1307" s="899"/>
      <c r="N1307" s="899"/>
      <c r="O1307" s="899"/>
      <c r="P1307" s="899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96"/>
      <c r="E1308" s="677"/>
      <c r="F1308" s="677"/>
      <c r="G1308" s="677"/>
      <c r="H1308" s="897"/>
      <c r="I1308" s="898"/>
      <c r="J1308" s="898"/>
      <c r="K1308" s="899"/>
      <c r="L1308" s="899"/>
      <c r="M1308" s="899"/>
      <c r="N1308" s="899"/>
      <c r="O1308" s="899"/>
      <c r="P1308" s="899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96"/>
      <c r="E1309" s="677"/>
      <c r="F1309" s="677"/>
      <c r="G1309" s="677"/>
      <c r="H1309" s="897"/>
      <c r="I1309" s="898"/>
      <c r="J1309" s="898"/>
      <c r="K1309" s="899"/>
      <c r="L1309" s="899"/>
      <c r="M1309" s="899"/>
      <c r="N1309" s="899"/>
      <c r="O1309" s="899"/>
      <c r="P1309" s="899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96"/>
      <c r="E1310" s="677"/>
      <c r="F1310" s="677"/>
      <c r="G1310" s="677"/>
      <c r="H1310" s="897"/>
      <c r="I1310" s="898"/>
      <c r="J1310" s="898"/>
      <c r="K1310" s="899"/>
      <c r="L1310" s="899"/>
      <c r="M1310" s="899"/>
      <c r="N1310" s="899"/>
      <c r="O1310" s="899"/>
      <c r="P1310" s="899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96"/>
      <c r="E1311" s="677"/>
      <c r="F1311" s="677"/>
      <c r="G1311" s="677"/>
      <c r="H1311" s="897"/>
      <c r="I1311" s="898"/>
      <c r="J1311" s="898"/>
      <c r="K1311" s="899"/>
      <c r="L1311" s="899"/>
      <c r="M1311" s="899"/>
      <c r="N1311" s="899"/>
      <c r="O1311" s="899"/>
      <c r="P1311" s="899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96"/>
      <c r="E1312" s="677"/>
      <c r="F1312" s="677"/>
      <c r="G1312" s="677"/>
      <c r="H1312" s="897"/>
      <c r="I1312" s="898"/>
      <c r="J1312" s="898"/>
      <c r="K1312" s="899"/>
      <c r="L1312" s="899"/>
      <c r="M1312" s="899"/>
      <c r="N1312" s="899"/>
      <c r="O1312" s="899"/>
      <c r="P1312" s="899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96"/>
      <c r="E1313" s="677"/>
      <c r="F1313" s="677"/>
      <c r="G1313" s="677"/>
      <c r="H1313" s="897"/>
      <c r="I1313" s="898"/>
      <c r="J1313" s="898"/>
      <c r="K1313" s="899"/>
      <c r="L1313" s="899"/>
      <c r="M1313" s="899"/>
      <c r="N1313" s="899"/>
      <c r="O1313" s="899"/>
      <c r="P1313" s="899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96"/>
      <c r="E1314" s="677"/>
      <c r="F1314" s="677"/>
      <c r="G1314" s="677"/>
      <c r="H1314" s="897"/>
      <c r="I1314" s="898"/>
      <c r="J1314" s="898"/>
      <c r="K1314" s="899"/>
      <c r="L1314" s="899"/>
      <c r="M1314" s="899"/>
      <c r="N1314" s="899"/>
      <c r="O1314" s="899"/>
      <c r="P1314" s="899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96"/>
      <c r="E1315" s="677"/>
      <c r="F1315" s="677"/>
      <c r="G1315" s="677"/>
      <c r="H1315" s="897"/>
      <c r="I1315" s="898"/>
      <c r="J1315" s="898"/>
      <c r="K1315" s="899"/>
      <c r="L1315" s="899"/>
      <c r="M1315" s="899"/>
      <c r="N1315" s="899"/>
      <c r="O1315" s="899"/>
      <c r="P1315" s="899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96"/>
      <c r="E1316" s="677"/>
      <c r="F1316" s="677"/>
      <c r="G1316" s="677"/>
      <c r="H1316" s="897"/>
      <c r="I1316" s="898"/>
      <c r="J1316" s="898"/>
      <c r="K1316" s="899"/>
      <c r="L1316" s="899"/>
      <c r="M1316" s="899"/>
      <c r="N1316" s="899"/>
      <c r="O1316" s="899"/>
      <c r="P1316" s="899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96"/>
      <c r="E1317" s="677"/>
      <c r="F1317" s="677"/>
      <c r="G1317" s="677"/>
      <c r="H1317" s="897"/>
      <c r="I1317" s="898"/>
      <c r="J1317" s="898"/>
      <c r="K1317" s="899"/>
      <c r="L1317" s="899"/>
      <c r="M1317" s="899"/>
      <c r="N1317" s="899"/>
      <c r="O1317" s="899"/>
      <c r="P1317" s="899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96"/>
      <c r="E1318" s="677"/>
      <c r="F1318" s="677"/>
      <c r="G1318" s="677"/>
      <c r="H1318" s="897"/>
      <c r="I1318" s="898"/>
      <c r="J1318" s="898"/>
      <c r="K1318" s="899"/>
      <c r="L1318" s="899"/>
      <c r="M1318" s="899"/>
      <c r="N1318" s="899"/>
      <c r="O1318" s="899"/>
      <c r="P1318" s="899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96"/>
      <c r="E1319" s="677"/>
      <c r="F1319" s="677"/>
      <c r="G1319" s="677"/>
      <c r="H1319" s="897"/>
      <c r="I1319" s="898"/>
      <c r="J1319" s="898"/>
      <c r="K1319" s="899"/>
      <c r="L1319" s="899"/>
      <c r="M1319" s="899"/>
      <c r="N1319" s="899"/>
      <c r="O1319" s="899"/>
      <c r="P1319" s="899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96"/>
      <c r="E1320" s="677"/>
      <c r="F1320" s="677"/>
      <c r="G1320" s="677"/>
      <c r="H1320" s="897"/>
      <c r="I1320" s="898"/>
      <c r="J1320" s="898"/>
      <c r="K1320" s="899"/>
      <c r="L1320" s="899"/>
      <c r="M1320" s="899"/>
      <c r="N1320" s="899"/>
      <c r="O1320" s="899"/>
      <c r="P1320" s="899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96"/>
      <c r="E1321" s="677"/>
      <c r="F1321" s="677"/>
      <c r="G1321" s="677"/>
      <c r="H1321" s="897"/>
      <c r="I1321" s="898"/>
      <c r="J1321" s="898"/>
      <c r="K1321" s="899"/>
      <c r="L1321" s="899"/>
      <c r="M1321" s="899"/>
      <c r="N1321" s="899"/>
      <c r="O1321" s="899"/>
      <c r="P1321" s="899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96"/>
      <c r="E1322" s="677"/>
      <c r="F1322" s="677"/>
      <c r="G1322" s="677"/>
      <c r="H1322" s="897"/>
      <c r="I1322" s="898"/>
      <c r="J1322" s="898"/>
      <c r="K1322" s="899"/>
      <c r="L1322" s="899"/>
      <c r="M1322" s="899"/>
      <c r="N1322" s="899"/>
      <c r="O1322" s="899"/>
      <c r="P1322" s="899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96"/>
      <c r="E1323" s="677"/>
      <c r="F1323" s="677"/>
      <c r="G1323" s="677"/>
      <c r="H1323" s="897"/>
      <c r="I1323" s="898"/>
      <c r="J1323" s="898"/>
      <c r="K1323" s="899"/>
      <c r="L1323" s="899"/>
      <c r="M1323" s="899"/>
      <c r="N1323" s="899"/>
      <c r="O1323" s="899"/>
      <c r="P1323" s="899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96"/>
      <c r="E1324" s="677"/>
      <c r="F1324" s="677"/>
      <c r="G1324" s="677"/>
      <c r="H1324" s="897"/>
      <c r="I1324" s="898"/>
      <c r="J1324" s="898"/>
      <c r="K1324" s="899"/>
      <c r="L1324" s="899"/>
      <c r="M1324" s="899"/>
      <c r="N1324" s="899"/>
      <c r="O1324" s="899"/>
      <c r="P1324" s="899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96"/>
      <c r="E1325" s="677"/>
      <c r="F1325" s="677"/>
      <c r="G1325" s="677"/>
      <c r="H1325" s="897"/>
      <c r="I1325" s="898"/>
      <c r="J1325" s="898"/>
      <c r="K1325" s="899"/>
      <c r="L1325" s="899"/>
      <c r="M1325" s="899"/>
      <c r="N1325" s="899"/>
      <c r="O1325" s="899"/>
      <c r="P1325" s="899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96"/>
      <c r="E1326" s="677"/>
      <c r="F1326" s="677"/>
      <c r="G1326" s="677"/>
      <c r="H1326" s="897"/>
      <c r="I1326" s="898"/>
      <c r="J1326" s="898"/>
      <c r="K1326" s="899"/>
      <c r="L1326" s="899"/>
      <c r="M1326" s="899"/>
      <c r="N1326" s="899"/>
      <c r="O1326" s="899"/>
      <c r="P1326" s="899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96"/>
      <c r="E1327" s="677"/>
      <c r="F1327" s="677"/>
      <c r="G1327" s="677"/>
      <c r="H1327" s="897"/>
      <c r="I1327" s="898"/>
      <c r="J1327" s="898"/>
      <c r="K1327" s="899"/>
      <c r="L1327" s="899"/>
      <c r="M1327" s="899"/>
      <c r="N1327" s="899"/>
      <c r="O1327" s="899"/>
      <c r="P1327" s="899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96"/>
      <c r="E1328" s="677"/>
      <c r="F1328" s="677"/>
      <c r="G1328" s="677"/>
      <c r="H1328" s="897"/>
      <c r="I1328" s="898"/>
      <c r="J1328" s="898"/>
      <c r="K1328" s="899"/>
      <c r="L1328" s="899"/>
      <c r="M1328" s="899"/>
      <c r="N1328" s="899"/>
      <c r="O1328" s="899"/>
      <c r="P1328" s="899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96"/>
      <c r="E1329" s="677"/>
      <c r="F1329" s="677"/>
      <c r="G1329" s="677"/>
      <c r="H1329" s="897"/>
      <c r="I1329" s="898"/>
      <c r="J1329" s="898"/>
      <c r="K1329" s="899"/>
      <c r="L1329" s="899"/>
      <c r="M1329" s="899"/>
      <c r="N1329" s="899"/>
      <c r="O1329" s="899"/>
      <c r="P1329" s="899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96"/>
      <c r="E1330" s="677"/>
      <c r="F1330" s="677"/>
      <c r="G1330" s="677"/>
      <c r="H1330" s="897"/>
      <c r="I1330" s="898"/>
      <c r="J1330" s="898"/>
      <c r="K1330" s="899"/>
      <c r="L1330" s="899"/>
      <c r="M1330" s="899"/>
      <c r="N1330" s="899"/>
      <c r="O1330" s="899"/>
      <c r="P1330" s="899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96"/>
      <c r="E1331" s="677"/>
      <c r="F1331" s="677"/>
      <c r="G1331" s="677"/>
      <c r="H1331" s="897"/>
      <c r="I1331" s="898"/>
      <c r="J1331" s="898"/>
      <c r="K1331" s="899"/>
      <c r="L1331" s="899"/>
      <c r="M1331" s="899"/>
      <c r="N1331" s="899"/>
      <c r="O1331" s="899"/>
      <c r="P1331" s="899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96"/>
      <c r="E1332" s="677"/>
      <c r="F1332" s="677"/>
      <c r="G1332" s="677"/>
      <c r="H1332" s="897"/>
      <c r="I1332" s="898"/>
      <c r="J1332" s="898"/>
      <c r="K1332" s="899"/>
      <c r="L1332" s="899"/>
      <c r="M1332" s="899"/>
      <c r="N1332" s="899"/>
      <c r="O1332" s="899"/>
      <c r="P1332" s="899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96"/>
      <c r="E1333" s="677"/>
      <c r="F1333" s="677"/>
      <c r="G1333" s="677"/>
      <c r="H1333" s="897"/>
      <c r="I1333" s="898"/>
      <c r="J1333" s="898"/>
      <c r="K1333" s="899"/>
      <c r="L1333" s="899"/>
      <c r="M1333" s="899"/>
      <c r="N1333" s="899"/>
      <c r="O1333" s="899"/>
      <c r="P1333" s="899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96"/>
      <c r="E1334" s="677"/>
      <c r="F1334" s="677"/>
      <c r="G1334" s="677"/>
      <c r="H1334" s="897"/>
      <c r="I1334" s="898"/>
      <c r="J1334" s="898"/>
      <c r="K1334" s="899"/>
      <c r="L1334" s="899"/>
      <c r="M1334" s="899"/>
      <c r="N1334" s="899"/>
      <c r="O1334" s="899"/>
      <c r="P1334" s="899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96"/>
      <c r="E1335" s="677"/>
      <c r="F1335" s="677"/>
      <c r="G1335" s="677"/>
      <c r="H1335" s="897"/>
      <c r="I1335" s="898"/>
      <c r="J1335" s="898"/>
      <c r="K1335" s="899"/>
      <c r="L1335" s="899"/>
      <c r="M1335" s="899"/>
      <c r="N1335" s="899"/>
      <c r="O1335" s="899"/>
      <c r="P1335" s="899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96"/>
      <c r="E1336" s="677"/>
      <c r="F1336" s="677"/>
      <c r="G1336" s="677"/>
      <c r="H1336" s="897"/>
      <c r="I1336" s="898"/>
      <c r="J1336" s="898"/>
      <c r="K1336" s="899"/>
      <c r="L1336" s="899"/>
      <c r="M1336" s="899"/>
      <c r="N1336" s="899"/>
      <c r="O1336" s="899"/>
      <c r="P1336" s="899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96"/>
      <c r="E1337" s="677"/>
      <c r="F1337" s="677"/>
      <c r="G1337" s="677"/>
      <c r="H1337" s="897"/>
      <c r="I1337" s="898"/>
      <c r="J1337" s="898"/>
      <c r="K1337" s="899"/>
      <c r="L1337" s="899"/>
      <c r="M1337" s="899"/>
      <c r="N1337" s="899"/>
      <c r="O1337" s="899"/>
      <c r="P1337" s="899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96"/>
      <c r="E1338" s="677"/>
      <c r="F1338" s="677"/>
      <c r="G1338" s="677"/>
      <c r="H1338" s="897"/>
      <c r="I1338" s="898"/>
      <c r="J1338" s="898"/>
      <c r="K1338" s="899"/>
      <c r="L1338" s="899"/>
      <c r="M1338" s="899"/>
      <c r="N1338" s="899"/>
      <c r="O1338" s="899"/>
      <c r="P1338" s="899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96"/>
      <c r="E1339" s="677"/>
      <c r="F1339" s="677"/>
      <c r="G1339" s="677"/>
      <c r="H1339" s="897"/>
      <c r="I1339" s="898"/>
      <c r="J1339" s="898"/>
      <c r="K1339" s="899"/>
      <c r="L1339" s="899"/>
      <c r="M1339" s="899"/>
      <c r="N1339" s="899"/>
      <c r="O1339" s="899"/>
      <c r="P1339" s="899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96"/>
      <c r="E1340" s="677"/>
      <c r="F1340" s="677"/>
      <c r="G1340" s="677"/>
      <c r="H1340" s="897"/>
      <c r="I1340" s="898"/>
      <c r="J1340" s="898"/>
      <c r="K1340" s="899"/>
      <c r="L1340" s="899"/>
      <c r="M1340" s="899"/>
      <c r="N1340" s="899"/>
      <c r="O1340" s="899"/>
      <c r="P1340" s="899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96"/>
      <c r="E1341" s="677"/>
      <c r="F1341" s="677"/>
      <c r="G1341" s="677"/>
      <c r="H1341" s="897"/>
      <c r="I1341" s="898"/>
      <c r="J1341" s="898"/>
      <c r="K1341" s="899"/>
      <c r="L1341" s="899"/>
      <c r="M1341" s="899"/>
      <c r="N1341" s="899"/>
      <c r="O1341" s="899"/>
      <c r="P1341" s="899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96"/>
      <c r="E1342" s="677"/>
      <c r="F1342" s="677"/>
      <c r="G1342" s="677"/>
      <c r="H1342" s="897"/>
      <c r="I1342" s="898"/>
      <c r="J1342" s="898"/>
      <c r="K1342" s="899"/>
      <c r="L1342" s="899"/>
      <c r="M1342" s="899"/>
      <c r="N1342" s="899"/>
      <c r="O1342" s="899"/>
      <c r="P1342" s="899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96"/>
      <c r="E1343" s="677"/>
      <c r="F1343" s="677"/>
      <c r="G1343" s="677"/>
      <c r="H1343" s="897"/>
      <c r="I1343" s="898"/>
      <c r="J1343" s="898"/>
      <c r="K1343" s="899"/>
      <c r="L1343" s="899"/>
      <c r="M1343" s="899"/>
      <c r="N1343" s="899"/>
      <c r="O1343" s="899"/>
      <c r="P1343" s="899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96"/>
      <c r="E1344" s="677"/>
      <c r="F1344" s="677"/>
      <c r="G1344" s="677"/>
      <c r="H1344" s="897"/>
      <c r="I1344" s="898"/>
      <c r="J1344" s="898"/>
      <c r="K1344" s="899"/>
      <c r="L1344" s="899"/>
      <c r="M1344" s="899"/>
      <c r="N1344" s="899"/>
      <c r="O1344" s="899"/>
      <c r="P1344" s="899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96"/>
      <c r="E1345" s="677"/>
      <c r="F1345" s="677"/>
      <c r="G1345" s="677"/>
      <c r="H1345" s="897"/>
      <c r="I1345" s="898"/>
      <c r="J1345" s="898"/>
      <c r="K1345" s="899"/>
      <c r="L1345" s="899"/>
      <c r="M1345" s="899"/>
      <c r="N1345" s="899"/>
      <c r="O1345" s="899"/>
      <c r="P1345" s="899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96"/>
      <c r="E1346" s="677"/>
      <c r="F1346" s="677"/>
      <c r="G1346" s="677"/>
      <c r="H1346" s="897"/>
      <c r="I1346" s="898"/>
      <c r="J1346" s="898"/>
      <c r="K1346" s="899"/>
      <c r="L1346" s="899"/>
      <c r="M1346" s="899"/>
      <c r="N1346" s="899"/>
      <c r="O1346" s="899"/>
      <c r="P1346" s="899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96"/>
      <c r="E1347" s="677"/>
      <c r="F1347" s="677"/>
      <c r="G1347" s="677"/>
      <c r="H1347" s="897"/>
      <c r="I1347" s="898"/>
      <c r="J1347" s="898"/>
      <c r="K1347" s="899"/>
      <c r="L1347" s="899"/>
      <c r="M1347" s="899"/>
      <c r="N1347" s="899"/>
      <c r="O1347" s="899"/>
      <c r="P1347" s="899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96"/>
      <c r="E1348" s="677"/>
      <c r="F1348" s="677"/>
      <c r="G1348" s="677"/>
      <c r="H1348" s="897"/>
      <c r="I1348" s="898"/>
      <c r="J1348" s="898"/>
      <c r="K1348" s="899"/>
      <c r="L1348" s="899"/>
      <c r="M1348" s="899"/>
      <c r="N1348" s="899"/>
      <c r="O1348" s="899"/>
      <c r="P1348" s="899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96"/>
      <c r="E1349" s="677"/>
      <c r="F1349" s="677"/>
      <c r="G1349" s="677"/>
      <c r="H1349" s="897"/>
      <c r="I1349" s="898"/>
      <c r="J1349" s="898"/>
      <c r="K1349" s="899"/>
      <c r="L1349" s="899"/>
      <c r="M1349" s="899"/>
      <c r="N1349" s="899"/>
      <c r="O1349" s="899"/>
      <c r="P1349" s="899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96"/>
      <c r="E1350" s="677"/>
      <c r="F1350" s="677"/>
      <c r="G1350" s="677"/>
      <c r="H1350" s="897"/>
      <c r="I1350" s="898"/>
      <c r="J1350" s="898"/>
      <c r="K1350" s="899"/>
      <c r="L1350" s="899"/>
      <c r="M1350" s="899"/>
      <c r="N1350" s="899"/>
      <c r="O1350" s="899"/>
      <c r="P1350" s="899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96"/>
      <c r="E1351" s="677"/>
      <c r="F1351" s="677"/>
      <c r="G1351" s="677"/>
      <c r="H1351" s="897"/>
      <c r="I1351" s="898"/>
      <c r="J1351" s="898"/>
      <c r="K1351" s="899"/>
      <c r="L1351" s="899"/>
      <c r="M1351" s="899"/>
      <c r="N1351" s="899"/>
      <c r="O1351" s="899"/>
      <c r="P1351" s="899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96"/>
      <c r="E1352" s="677"/>
      <c r="F1352" s="677"/>
      <c r="G1352" s="677"/>
      <c r="H1352" s="897"/>
      <c r="I1352" s="898"/>
      <c r="J1352" s="898"/>
      <c r="K1352" s="899"/>
      <c r="L1352" s="899"/>
      <c r="M1352" s="899"/>
      <c r="N1352" s="899"/>
      <c r="O1352" s="899"/>
      <c r="P1352" s="899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96"/>
      <c r="E1353" s="677"/>
      <c r="F1353" s="677"/>
      <c r="G1353" s="677"/>
      <c r="H1353" s="897"/>
      <c r="I1353" s="898"/>
      <c r="J1353" s="898"/>
      <c r="K1353" s="899"/>
      <c r="L1353" s="899"/>
      <c r="M1353" s="899"/>
      <c r="N1353" s="899"/>
      <c r="O1353" s="899"/>
      <c r="P1353" s="899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96"/>
      <c r="E1354" s="677"/>
      <c r="F1354" s="677"/>
      <c r="G1354" s="677"/>
      <c r="H1354" s="897"/>
      <c r="I1354" s="898"/>
      <c r="J1354" s="898"/>
      <c r="K1354" s="899"/>
      <c r="L1354" s="899"/>
      <c r="M1354" s="899"/>
      <c r="N1354" s="899"/>
      <c r="O1354" s="899"/>
      <c r="P1354" s="899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96"/>
      <c r="E1355" s="677"/>
      <c r="F1355" s="677"/>
      <c r="G1355" s="677"/>
      <c r="H1355" s="897"/>
      <c r="I1355" s="898"/>
      <c r="J1355" s="898"/>
      <c r="K1355" s="899"/>
      <c r="L1355" s="899"/>
      <c r="M1355" s="899"/>
      <c r="N1355" s="899"/>
      <c r="O1355" s="899"/>
      <c r="P1355" s="899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96"/>
      <c r="E1356" s="677"/>
      <c r="F1356" s="677"/>
      <c r="G1356" s="677"/>
      <c r="H1356" s="897"/>
      <c r="I1356" s="898"/>
      <c r="J1356" s="898"/>
      <c r="K1356" s="899"/>
      <c r="L1356" s="899"/>
      <c r="M1356" s="899"/>
      <c r="N1356" s="899"/>
      <c r="O1356" s="899"/>
      <c r="P1356" s="899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96"/>
      <c r="E1357" s="677"/>
      <c r="F1357" s="677"/>
      <c r="G1357" s="677"/>
      <c r="H1357" s="897"/>
      <c r="I1357" s="898"/>
      <c r="J1357" s="898"/>
      <c r="K1357" s="899"/>
      <c r="L1357" s="899"/>
      <c r="M1357" s="899"/>
      <c r="N1357" s="899"/>
      <c r="O1357" s="899"/>
      <c r="P1357" s="899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96"/>
      <c r="E1358" s="677"/>
      <c r="F1358" s="677"/>
      <c r="G1358" s="677"/>
      <c r="H1358" s="897"/>
      <c r="I1358" s="898"/>
      <c r="J1358" s="898"/>
      <c r="K1358" s="899"/>
      <c r="L1358" s="899"/>
      <c r="M1358" s="899"/>
      <c r="N1358" s="899"/>
      <c r="O1358" s="899"/>
      <c r="P1358" s="899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96"/>
      <c r="E1359" s="677"/>
      <c r="F1359" s="677"/>
      <c r="G1359" s="677"/>
      <c r="H1359" s="897"/>
      <c r="I1359" s="898"/>
      <c r="J1359" s="898"/>
      <c r="K1359" s="899"/>
      <c r="L1359" s="899"/>
      <c r="M1359" s="899"/>
      <c r="N1359" s="899"/>
      <c r="O1359" s="899"/>
      <c r="P1359" s="899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96"/>
      <c r="E1360" s="677"/>
      <c r="F1360" s="677"/>
      <c r="G1360" s="677"/>
      <c r="H1360" s="897"/>
      <c r="I1360" s="898"/>
      <c r="J1360" s="898"/>
      <c r="K1360" s="899"/>
      <c r="L1360" s="899"/>
      <c r="M1360" s="899"/>
      <c r="N1360" s="899"/>
      <c r="O1360" s="899"/>
      <c r="P1360" s="899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96"/>
      <c r="E1361" s="677"/>
      <c r="F1361" s="677"/>
      <c r="G1361" s="677"/>
      <c r="H1361" s="897"/>
      <c r="I1361" s="898"/>
      <c r="J1361" s="898"/>
      <c r="K1361" s="899"/>
      <c r="L1361" s="899"/>
      <c r="M1361" s="899"/>
      <c r="N1361" s="899"/>
      <c r="O1361" s="899"/>
      <c r="P1361" s="899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96"/>
      <c r="E1362" s="677"/>
      <c r="F1362" s="677"/>
      <c r="G1362" s="677"/>
      <c r="H1362" s="897"/>
      <c r="I1362" s="898"/>
      <c r="J1362" s="898"/>
      <c r="K1362" s="899"/>
      <c r="L1362" s="899"/>
      <c r="M1362" s="899"/>
      <c r="N1362" s="899"/>
      <c r="O1362" s="899"/>
      <c r="P1362" s="899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96"/>
      <c r="E1363" s="677"/>
      <c r="F1363" s="677"/>
      <c r="G1363" s="677"/>
      <c r="H1363" s="897"/>
      <c r="I1363" s="898"/>
      <c r="J1363" s="898"/>
      <c r="K1363" s="899"/>
      <c r="L1363" s="899"/>
      <c r="M1363" s="899"/>
      <c r="N1363" s="899"/>
      <c r="O1363" s="899"/>
      <c r="P1363" s="899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96"/>
      <c r="E1364" s="677"/>
      <c r="F1364" s="677"/>
      <c r="G1364" s="677"/>
      <c r="H1364" s="897"/>
      <c r="I1364" s="898"/>
      <c r="J1364" s="898"/>
      <c r="K1364" s="899"/>
      <c r="L1364" s="899"/>
      <c r="M1364" s="899"/>
      <c r="N1364" s="899"/>
      <c r="O1364" s="899"/>
      <c r="P1364" s="899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96"/>
      <c r="E1365" s="677"/>
      <c r="F1365" s="677"/>
      <c r="G1365" s="677"/>
      <c r="H1365" s="897"/>
      <c r="I1365" s="898"/>
      <c r="J1365" s="898"/>
      <c r="K1365" s="899"/>
      <c r="L1365" s="899"/>
      <c r="M1365" s="899"/>
      <c r="N1365" s="899"/>
      <c r="O1365" s="899"/>
      <c r="P1365" s="899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96"/>
      <c r="E1366" s="677"/>
      <c r="F1366" s="677"/>
      <c r="G1366" s="677"/>
      <c r="H1366" s="897"/>
      <c r="I1366" s="898"/>
      <c r="J1366" s="898"/>
      <c r="K1366" s="899"/>
      <c r="L1366" s="899"/>
      <c r="M1366" s="899"/>
      <c r="N1366" s="899"/>
      <c r="O1366" s="899"/>
      <c r="P1366" s="899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96"/>
      <c r="E1367" s="677"/>
      <c r="F1367" s="677"/>
      <c r="G1367" s="677"/>
      <c r="H1367" s="897"/>
      <c r="I1367" s="898"/>
      <c r="J1367" s="898"/>
      <c r="K1367" s="899"/>
      <c r="L1367" s="899"/>
      <c r="M1367" s="899"/>
      <c r="N1367" s="899"/>
      <c r="O1367" s="899"/>
      <c r="P1367" s="899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96"/>
      <c r="E1368" s="677"/>
      <c r="F1368" s="677"/>
      <c r="G1368" s="677"/>
      <c r="H1368" s="897"/>
      <c r="I1368" s="898"/>
      <c r="J1368" s="898"/>
      <c r="K1368" s="899"/>
      <c r="L1368" s="899"/>
      <c r="M1368" s="899"/>
      <c r="N1368" s="899"/>
      <c r="O1368" s="899"/>
      <c r="P1368" s="899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96"/>
      <c r="E1369" s="677"/>
      <c r="F1369" s="677"/>
      <c r="G1369" s="677"/>
      <c r="H1369" s="897"/>
      <c r="I1369" s="898"/>
      <c r="J1369" s="898"/>
      <c r="K1369" s="899"/>
      <c r="L1369" s="899"/>
      <c r="M1369" s="899"/>
      <c r="N1369" s="899"/>
      <c r="O1369" s="899"/>
      <c r="P1369" s="899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96"/>
      <c r="E1370" s="677"/>
      <c r="F1370" s="677"/>
      <c r="G1370" s="677"/>
      <c r="H1370" s="897"/>
      <c r="I1370" s="898"/>
      <c r="J1370" s="898"/>
      <c r="K1370" s="899"/>
      <c r="L1370" s="899"/>
      <c r="M1370" s="899"/>
      <c r="N1370" s="899"/>
      <c r="O1370" s="899"/>
      <c r="P1370" s="899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96"/>
      <c r="E1371" s="677"/>
      <c r="F1371" s="677"/>
      <c r="G1371" s="677"/>
      <c r="H1371" s="897"/>
      <c r="I1371" s="898"/>
      <c r="J1371" s="898"/>
      <c r="K1371" s="899"/>
      <c r="L1371" s="899"/>
      <c r="M1371" s="899"/>
      <c r="N1371" s="899"/>
      <c r="O1371" s="899"/>
      <c r="P1371" s="899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96"/>
      <c r="E1372" s="677"/>
      <c r="F1372" s="677"/>
      <c r="G1372" s="677"/>
      <c r="H1372" s="897"/>
      <c r="I1372" s="898"/>
      <c r="J1372" s="898"/>
      <c r="K1372" s="899"/>
      <c r="L1372" s="899"/>
      <c r="M1372" s="899"/>
      <c r="N1372" s="899"/>
      <c r="O1372" s="899"/>
      <c r="P1372" s="899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96"/>
      <c r="E1373" s="677"/>
      <c r="F1373" s="677"/>
      <c r="G1373" s="677"/>
      <c r="H1373" s="897"/>
      <c r="I1373" s="898"/>
      <c r="J1373" s="898"/>
      <c r="K1373" s="899"/>
      <c r="L1373" s="899"/>
      <c r="M1373" s="899"/>
      <c r="N1373" s="899"/>
      <c r="O1373" s="899"/>
      <c r="P1373" s="899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96"/>
      <c r="E1374" s="677"/>
      <c r="F1374" s="677"/>
      <c r="G1374" s="677"/>
      <c r="H1374" s="897"/>
      <c r="I1374" s="898"/>
      <c r="J1374" s="898"/>
      <c r="K1374" s="899"/>
      <c r="L1374" s="899"/>
      <c r="M1374" s="899"/>
      <c r="N1374" s="899"/>
      <c r="O1374" s="899"/>
      <c r="P1374" s="899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96"/>
      <c r="E1375" s="677"/>
      <c r="F1375" s="677"/>
      <c r="G1375" s="677"/>
      <c r="H1375" s="897"/>
      <c r="I1375" s="898"/>
      <c r="J1375" s="898"/>
      <c r="K1375" s="899"/>
      <c r="L1375" s="899"/>
      <c r="M1375" s="899"/>
      <c r="N1375" s="899"/>
      <c r="O1375" s="899"/>
      <c r="P1375" s="899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96"/>
      <c r="E1376" s="677"/>
      <c r="F1376" s="677"/>
      <c r="G1376" s="677"/>
      <c r="H1376" s="897"/>
      <c r="I1376" s="898"/>
      <c r="J1376" s="898"/>
      <c r="K1376" s="899"/>
      <c r="L1376" s="899"/>
      <c r="M1376" s="899"/>
      <c r="N1376" s="899"/>
      <c r="O1376" s="899"/>
      <c r="P1376" s="899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96"/>
      <c r="E1377" s="677"/>
      <c r="F1377" s="677"/>
      <c r="G1377" s="677"/>
      <c r="H1377" s="897"/>
      <c r="I1377" s="898"/>
      <c r="J1377" s="898"/>
      <c r="K1377" s="899"/>
      <c r="L1377" s="899"/>
      <c r="M1377" s="899"/>
      <c r="N1377" s="899"/>
      <c r="O1377" s="899"/>
      <c r="P1377" s="899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96"/>
      <c r="E1378" s="677"/>
      <c r="F1378" s="677"/>
      <c r="G1378" s="677"/>
      <c r="H1378" s="897"/>
      <c r="I1378" s="898"/>
      <c r="J1378" s="898"/>
      <c r="K1378" s="899"/>
      <c r="L1378" s="899"/>
      <c r="M1378" s="899"/>
      <c r="N1378" s="899"/>
      <c r="O1378" s="899"/>
      <c r="P1378" s="899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96"/>
      <c r="E1379" s="677"/>
      <c r="F1379" s="677"/>
      <c r="G1379" s="677"/>
      <c r="H1379" s="897"/>
      <c r="I1379" s="898"/>
      <c r="J1379" s="898"/>
      <c r="K1379" s="899"/>
      <c r="L1379" s="899"/>
      <c r="M1379" s="899"/>
      <c r="N1379" s="899"/>
      <c r="O1379" s="899"/>
      <c r="P1379" s="899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96"/>
      <c r="E1380" s="677"/>
      <c r="F1380" s="677"/>
      <c r="G1380" s="677"/>
      <c r="H1380" s="897"/>
      <c r="I1380" s="898"/>
      <c r="J1380" s="898"/>
      <c r="K1380" s="899"/>
      <c r="L1380" s="899"/>
      <c r="M1380" s="899"/>
      <c r="N1380" s="899"/>
      <c r="O1380" s="899"/>
      <c r="P1380" s="899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96"/>
      <c r="E1381" s="677"/>
      <c r="F1381" s="677"/>
      <c r="G1381" s="677"/>
      <c r="H1381" s="897"/>
      <c r="I1381" s="898"/>
      <c r="J1381" s="898"/>
      <c r="K1381" s="899"/>
      <c r="L1381" s="899"/>
      <c r="M1381" s="899"/>
      <c r="N1381" s="899"/>
      <c r="O1381" s="899"/>
      <c r="P1381" s="899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96"/>
      <c r="E1382" s="677"/>
      <c r="F1382" s="677"/>
      <c r="G1382" s="677"/>
      <c r="H1382" s="897"/>
      <c r="I1382" s="898"/>
      <c r="J1382" s="898"/>
      <c r="K1382" s="899"/>
      <c r="L1382" s="899"/>
      <c r="M1382" s="899"/>
      <c r="N1382" s="899"/>
      <c r="O1382" s="899"/>
      <c r="P1382" s="899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96"/>
      <c r="E1383" s="677"/>
      <c r="F1383" s="677"/>
      <c r="G1383" s="677"/>
      <c r="H1383" s="897"/>
      <c r="I1383" s="898"/>
      <c r="J1383" s="898"/>
      <c r="K1383" s="899"/>
      <c r="L1383" s="899"/>
      <c r="M1383" s="899"/>
      <c r="N1383" s="899"/>
      <c r="O1383" s="899"/>
      <c r="P1383" s="899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96"/>
      <c r="E1384" s="677"/>
      <c r="F1384" s="677"/>
      <c r="G1384" s="677"/>
      <c r="H1384" s="897"/>
      <c r="I1384" s="898"/>
      <c r="J1384" s="898"/>
      <c r="K1384" s="899"/>
      <c r="L1384" s="899"/>
      <c r="M1384" s="899"/>
      <c r="N1384" s="899"/>
      <c r="O1384" s="899"/>
      <c r="P1384" s="899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96"/>
      <c r="E1385" s="677"/>
      <c r="F1385" s="677"/>
      <c r="G1385" s="677"/>
      <c r="H1385" s="897"/>
      <c r="I1385" s="898"/>
      <c r="J1385" s="898"/>
      <c r="K1385" s="899"/>
      <c r="L1385" s="899"/>
      <c r="M1385" s="899"/>
      <c r="N1385" s="899"/>
      <c r="O1385" s="899"/>
      <c r="P1385" s="899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96"/>
      <c r="E1386" s="677"/>
      <c r="F1386" s="677"/>
      <c r="G1386" s="677"/>
      <c r="H1386" s="897"/>
      <c r="I1386" s="898"/>
      <c r="J1386" s="898"/>
      <c r="K1386" s="899"/>
      <c r="L1386" s="899"/>
      <c r="M1386" s="899"/>
      <c r="N1386" s="899"/>
      <c r="O1386" s="899"/>
      <c r="P1386" s="899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96"/>
      <c r="E1387" s="677"/>
      <c r="F1387" s="677"/>
      <c r="G1387" s="677"/>
      <c r="H1387" s="897"/>
      <c r="I1387" s="898"/>
      <c r="J1387" s="898"/>
      <c r="K1387" s="899"/>
      <c r="L1387" s="899"/>
      <c r="M1387" s="899"/>
      <c r="N1387" s="899"/>
      <c r="O1387" s="899"/>
      <c r="P1387" s="899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96"/>
      <c r="E1388" s="677"/>
      <c r="F1388" s="677"/>
      <c r="G1388" s="677"/>
      <c r="H1388" s="897"/>
      <c r="I1388" s="898"/>
      <c r="J1388" s="898"/>
      <c r="K1388" s="899"/>
      <c r="L1388" s="899"/>
      <c r="M1388" s="899"/>
      <c r="N1388" s="899"/>
      <c r="O1388" s="899"/>
      <c r="P1388" s="899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96"/>
      <c r="E1389" s="677"/>
      <c r="F1389" s="677"/>
      <c r="G1389" s="677"/>
      <c r="H1389" s="897"/>
      <c r="I1389" s="898"/>
      <c r="J1389" s="898"/>
      <c r="K1389" s="899"/>
      <c r="L1389" s="899"/>
      <c r="M1389" s="899"/>
      <c r="N1389" s="899"/>
      <c r="O1389" s="899"/>
      <c r="P1389" s="899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96"/>
      <c r="E1390" s="677"/>
      <c r="F1390" s="677"/>
      <c r="G1390" s="677"/>
      <c r="H1390" s="897"/>
      <c r="I1390" s="898"/>
      <c r="J1390" s="898"/>
      <c r="K1390" s="899"/>
      <c r="L1390" s="899"/>
      <c r="M1390" s="899"/>
      <c r="N1390" s="899"/>
      <c r="O1390" s="899"/>
      <c r="P1390" s="899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96"/>
      <c r="E1391" s="677"/>
      <c r="F1391" s="677"/>
      <c r="G1391" s="677"/>
      <c r="H1391" s="897"/>
      <c r="I1391" s="898"/>
      <c r="J1391" s="898"/>
      <c r="K1391" s="899"/>
      <c r="L1391" s="899"/>
      <c r="M1391" s="899"/>
      <c r="N1391" s="899"/>
      <c r="O1391" s="899"/>
      <c r="P1391" s="899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96"/>
      <c r="E1392" s="677"/>
      <c r="F1392" s="677"/>
      <c r="G1392" s="677"/>
      <c r="H1392" s="897"/>
      <c r="I1392" s="898"/>
      <c r="J1392" s="898"/>
      <c r="K1392" s="899"/>
      <c r="L1392" s="899"/>
      <c r="M1392" s="899"/>
      <c r="N1392" s="899"/>
      <c r="O1392" s="899"/>
      <c r="P1392" s="899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96"/>
      <c r="E1393" s="677"/>
      <c r="F1393" s="677"/>
      <c r="G1393" s="677"/>
      <c r="H1393" s="897"/>
      <c r="I1393" s="898"/>
      <c r="J1393" s="898"/>
      <c r="K1393" s="899"/>
      <c r="L1393" s="899"/>
      <c r="M1393" s="899"/>
      <c r="N1393" s="899"/>
      <c r="O1393" s="899"/>
      <c r="P1393" s="899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96"/>
      <c r="E1394" s="677"/>
      <c r="F1394" s="677"/>
      <c r="G1394" s="677"/>
      <c r="H1394" s="897"/>
      <c r="I1394" s="898"/>
      <c r="J1394" s="898"/>
      <c r="K1394" s="899"/>
      <c r="L1394" s="899"/>
      <c r="M1394" s="899"/>
      <c r="N1394" s="899"/>
      <c r="O1394" s="899"/>
      <c r="P1394" s="899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96"/>
      <c r="E1395" s="677"/>
      <c r="F1395" s="677"/>
      <c r="G1395" s="677"/>
      <c r="H1395" s="897"/>
      <c r="I1395" s="898"/>
      <c r="J1395" s="898"/>
      <c r="K1395" s="899"/>
      <c r="L1395" s="899"/>
      <c r="M1395" s="899"/>
      <c r="N1395" s="899"/>
      <c r="O1395" s="899"/>
      <c r="P1395" s="899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96"/>
      <c r="E1396" s="677"/>
      <c r="F1396" s="677"/>
      <c r="G1396" s="677"/>
      <c r="H1396" s="897"/>
      <c r="I1396" s="898"/>
      <c r="J1396" s="898"/>
      <c r="K1396" s="899"/>
      <c r="L1396" s="899"/>
      <c r="M1396" s="899"/>
      <c r="N1396" s="899"/>
      <c r="O1396" s="899"/>
      <c r="P1396" s="899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96"/>
      <c r="E1397" s="677"/>
      <c r="F1397" s="677"/>
      <c r="G1397" s="677"/>
      <c r="H1397" s="897"/>
      <c r="I1397" s="898"/>
      <c r="J1397" s="898"/>
      <c r="K1397" s="899"/>
      <c r="L1397" s="899"/>
      <c r="M1397" s="899"/>
      <c r="N1397" s="899"/>
      <c r="O1397" s="899"/>
      <c r="P1397" s="899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96"/>
      <c r="E1398" s="677"/>
      <c r="F1398" s="677"/>
      <c r="G1398" s="677"/>
      <c r="H1398" s="897"/>
      <c r="I1398" s="898"/>
      <c r="J1398" s="898"/>
      <c r="K1398" s="899"/>
      <c r="L1398" s="899"/>
      <c r="M1398" s="899"/>
      <c r="N1398" s="899"/>
      <c r="O1398" s="899"/>
      <c r="P1398" s="899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96"/>
      <c r="E1399" s="677"/>
      <c r="F1399" s="677"/>
      <c r="G1399" s="677"/>
      <c r="H1399" s="897"/>
      <c r="I1399" s="898"/>
      <c r="J1399" s="898"/>
      <c r="K1399" s="899"/>
      <c r="L1399" s="899"/>
      <c r="M1399" s="899"/>
      <c r="N1399" s="899"/>
      <c r="O1399" s="899"/>
      <c r="P1399" s="899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96"/>
      <c r="E1400" s="677"/>
      <c r="F1400" s="677"/>
      <c r="G1400" s="677"/>
      <c r="H1400" s="897"/>
      <c r="I1400" s="898"/>
      <c r="J1400" s="898"/>
      <c r="K1400" s="899"/>
      <c r="L1400" s="899"/>
      <c r="M1400" s="899"/>
      <c r="N1400" s="899"/>
      <c r="O1400" s="899"/>
      <c r="P1400" s="899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96"/>
      <c r="E1401" s="677"/>
      <c r="F1401" s="677"/>
      <c r="G1401" s="677"/>
      <c r="H1401" s="897"/>
      <c r="I1401" s="898"/>
      <c r="J1401" s="898"/>
      <c r="K1401" s="899"/>
      <c r="L1401" s="899"/>
      <c r="M1401" s="899"/>
      <c r="N1401" s="899"/>
      <c r="O1401" s="899"/>
      <c r="P1401" s="899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96"/>
      <c r="E1402" s="677"/>
      <c r="F1402" s="677"/>
      <c r="G1402" s="677"/>
      <c r="H1402" s="897"/>
      <c r="I1402" s="898"/>
      <c r="J1402" s="898"/>
      <c r="K1402" s="899"/>
      <c r="L1402" s="899"/>
      <c r="M1402" s="899"/>
      <c r="N1402" s="899"/>
      <c r="O1402" s="899"/>
      <c r="P1402" s="899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96"/>
      <c r="E1403" s="677"/>
      <c r="F1403" s="677"/>
      <c r="G1403" s="677"/>
      <c r="H1403" s="897"/>
      <c r="I1403" s="898"/>
      <c r="J1403" s="898"/>
      <c r="K1403" s="899"/>
      <c r="L1403" s="899"/>
      <c r="M1403" s="899"/>
      <c r="N1403" s="899"/>
      <c r="O1403" s="899"/>
      <c r="P1403" s="899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96"/>
      <c r="E1404" s="677"/>
      <c r="F1404" s="677"/>
      <c r="G1404" s="677"/>
      <c r="H1404" s="897"/>
      <c r="I1404" s="898"/>
      <c r="J1404" s="898"/>
      <c r="K1404" s="899"/>
      <c r="L1404" s="899"/>
      <c r="M1404" s="899"/>
      <c r="N1404" s="899"/>
      <c r="O1404" s="899"/>
      <c r="P1404" s="899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96"/>
      <c r="E1405" s="677"/>
      <c r="F1405" s="677"/>
      <c r="G1405" s="677"/>
      <c r="H1405" s="897"/>
      <c r="I1405" s="898"/>
      <c r="J1405" s="898"/>
      <c r="K1405" s="899"/>
      <c r="L1405" s="899"/>
      <c r="M1405" s="899"/>
      <c r="N1405" s="899"/>
      <c r="O1405" s="899"/>
      <c r="P1405" s="899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96"/>
      <c r="E1406" s="677"/>
      <c r="F1406" s="677"/>
      <c r="G1406" s="677"/>
      <c r="H1406" s="897"/>
      <c r="I1406" s="898"/>
      <c r="J1406" s="898"/>
      <c r="K1406" s="899"/>
      <c r="L1406" s="899"/>
      <c r="M1406" s="899"/>
      <c r="N1406" s="899"/>
      <c r="O1406" s="899"/>
      <c r="P1406" s="899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96"/>
      <c r="E1407" s="677"/>
      <c r="F1407" s="677"/>
      <c r="G1407" s="677"/>
      <c r="H1407" s="897"/>
      <c r="I1407" s="898"/>
      <c r="J1407" s="898"/>
      <c r="K1407" s="899"/>
      <c r="L1407" s="899"/>
      <c r="M1407" s="899"/>
      <c r="N1407" s="899"/>
      <c r="O1407" s="899"/>
      <c r="P1407" s="899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96"/>
      <c r="E1408" s="677"/>
      <c r="F1408" s="677"/>
      <c r="G1408" s="677"/>
      <c r="H1408" s="897"/>
      <c r="I1408" s="898"/>
      <c r="J1408" s="898"/>
      <c r="K1408" s="899"/>
      <c r="L1408" s="899"/>
      <c r="M1408" s="899"/>
      <c r="N1408" s="899"/>
      <c r="O1408" s="899"/>
      <c r="P1408" s="899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96"/>
      <c r="E1409" s="677"/>
      <c r="F1409" s="677"/>
      <c r="G1409" s="677"/>
      <c r="H1409" s="897"/>
      <c r="I1409" s="898"/>
      <c r="J1409" s="898"/>
      <c r="K1409" s="899"/>
      <c r="L1409" s="899"/>
      <c r="M1409" s="899"/>
      <c r="N1409" s="899"/>
      <c r="O1409" s="899"/>
      <c r="P1409" s="899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96"/>
      <c r="E1410" s="677"/>
      <c r="F1410" s="677"/>
      <c r="G1410" s="677"/>
      <c r="H1410" s="897"/>
      <c r="I1410" s="898"/>
      <c r="J1410" s="898"/>
      <c r="K1410" s="899"/>
      <c r="L1410" s="899"/>
      <c r="M1410" s="899"/>
      <c r="N1410" s="899"/>
      <c r="O1410" s="899"/>
      <c r="P1410" s="899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96"/>
      <c r="E1411" s="677"/>
      <c r="F1411" s="677"/>
      <c r="G1411" s="677"/>
      <c r="H1411" s="897"/>
      <c r="I1411" s="898"/>
      <c r="J1411" s="898"/>
      <c r="K1411" s="899"/>
      <c r="L1411" s="899"/>
      <c r="M1411" s="899"/>
      <c r="N1411" s="899"/>
      <c r="O1411" s="899"/>
      <c r="P1411" s="899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96"/>
      <c r="E1412" s="677"/>
      <c r="F1412" s="677"/>
      <c r="G1412" s="677"/>
      <c r="H1412" s="897"/>
      <c r="I1412" s="898"/>
      <c r="J1412" s="898"/>
      <c r="K1412" s="899"/>
      <c r="L1412" s="899"/>
      <c r="M1412" s="899"/>
      <c r="N1412" s="899"/>
      <c r="O1412" s="899"/>
      <c r="P1412" s="899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96"/>
      <c r="E1413" s="677"/>
      <c r="F1413" s="677"/>
      <c r="G1413" s="677"/>
      <c r="H1413" s="897"/>
      <c r="I1413" s="898"/>
      <c r="J1413" s="898"/>
      <c r="K1413" s="899"/>
      <c r="L1413" s="899"/>
      <c r="M1413" s="899"/>
      <c r="N1413" s="899"/>
      <c r="O1413" s="899"/>
      <c r="P1413" s="899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96"/>
      <c r="E1414" s="677"/>
      <c r="F1414" s="677"/>
      <c r="G1414" s="677"/>
      <c r="H1414" s="897"/>
      <c r="I1414" s="898"/>
      <c r="J1414" s="898"/>
      <c r="K1414" s="899"/>
      <c r="L1414" s="899"/>
      <c r="M1414" s="899"/>
      <c r="N1414" s="899"/>
      <c r="O1414" s="899"/>
      <c r="P1414" s="899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96"/>
      <c r="E1415" s="677"/>
      <c r="F1415" s="677"/>
      <c r="G1415" s="677"/>
      <c r="H1415" s="897"/>
      <c r="I1415" s="898"/>
      <c r="J1415" s="898"/>
      <c r="K1415" s="899"/>
      <c r="L1415" s="899"/>
      <c r="M1415" s="899"/>
      <c r="N1415" s="899"/>
      <c r="O1415" s="899"/>
      <c r="P1415" s="899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96"/>
      <c r="E1416" s="677"/>
      <c r="F1416" s="677"/>
      <c r="G1416" s="677"/>
      <c r="H1416" s="897"/>
      <c r="I1416" s="898"/>
      <c r="J1416" s="898"/>
      <c r="K1416" s="899"/>
      <c r="L1416" s="899"/>
      <c r="M1416" s="899"/>
      <c r="N1416" s="899"/>
      <c r="O1416" s="899"/>
      <c r="P1416" s="899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96"/>
      <c r="E1417" s="677"/>
      <c r="F1417" s="677"/>
      <c r="G1417" s="677"/>
      <c r="H1417" s="897"/>
      <c r="I1417" s="898"/>
      <c r="J1417" s="898"/>
      <c r="K1417" s="899"/>
      <c r="L1417" s="899"/>
      <c r="M1417" s="899"/>
      <c r="N1417" s="899"/>
      <c r="O1417" s="899"/>
      <c r="P1417" s="899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96"/>
      <c r="E1418" s="677"/>
      <c r="F1418" s="677"/>
      <c r="G1418" s="677"/>
      <c r="H1418" s="897"/>
      <c r="I1418" s="898"/>
      <c r="J1418" s="898"/>
      <c r="K1418" s="899"/>
      <c r="L1418" s="899"/>
      <c r="M1418" s="899"/>
      <c r="N1418" s="899"/>
      <c r="O1418" s="899"/>
      <c r="P1418" s="899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96"/>
      <c r="E1419" s="677"/>
      <c r="F1419" s="677"/>
      <c r="G1419" s="677"/>
      <c r="H1419" s="897"/>
      <c r="I1419" s="898"/>
      <c r="J1419" s="898"/>
      <c r="K1419" s="899"/>
      <c r="L1419" s="899"/>
      <c r="M1419" s="899"/>
      <c r="N1419" s="899"/>
      <c r="O1419" s="899"/>
      <c r="P1419" s="899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96"/>
      <c r="E1420" s="677"/>
      <c r="F1420" s="677"/>
      <c r="G1420" s="677"/>
      <c r="H1420" s="897"/>
      <c r="I1420" s="898"/>
      <c r="J1420" s="898"/>
      <c r="K1420" s="899"/>
      <c r="L1420" s="899"/>
      <c r="M1420" s="899"/>
      <c r="N1420" s="899"/>
      <c r="O1420" s="899"/>
      <c r="P1420" s="899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96"/>
      <c r="E1421" s="677"/>
      <c r="F1421" s="677"/>
      <c r="G1421" s="677"/>
      <c r="H1421" s="897"/>
      <c r="I1421" s="898"/>
      <c r="J1421" s="898"/>
      <c r="K1421" s="899"/>
      <c r="L1421" s="899"/>
      <c r="M1421" s="899"/>
      <c r="N1421" s="899"/>
      <c r="O1421" s="899"/>
      <c r="P1421" s="899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96"/>
      <c r="E1422" s="677"/>
      <c r="F1422" s="677"/>
      <c r="G1422" s="677"/>
      <c r="H1422" s="897"/>
      <c r="I1422" s="898"/>
      <c r="J1422" s="898"/>
      <c r="K1422" s="899"/>
      <c r="L1422" s="899"/>
      <c r="M1422" s="899"/>
      <c r="N1422" s="899"/>
      <c r="O1422" s="899"/>
      <c r="P1422" s="899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96"/>
      <c r="E1423" s="677"/>
      <c r="F1423" s="677"/>
      <c r="G1423" s="677"/>
      <c r="H1423" s="897"/>
      <c r="I1423" s="898"/>
      <c r="J1423" s="898"/>
      <c r="K1423" s="899"/>
      <c r="L1423" s="899"/>
      <c r="M1423" s="899"/>
      <c r="N1423" s="899"/>
      <c r="O1423" s="899"/>
      <c r="P1423" s="899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96"/>
      <c r="E1424" s="677"/>
      <c r="F1424" s="677"/>
      <c r="G1424" s="677"/>
      <c r="H1424" s="897"/>
      <c r="I1424" s="898"/>
      <c r="J1424" s="898"/>
      <c r="K1424" s="899"/>
      <c r="L1424" s="899"/>
      <c r="M1424" s="899"/>
      <c r="N1424" s="899"/>
      <c r="O1424" s="899"/>
      <c r="P1424" s="899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96"/>
      <c r="E1425" s="677"/>
      <c r="F1425" s="677"/>
      <c r="G1425" s="677"/>
      <c r="H1425" s="897"/>
      <c r="I1425" s="898"/>
      <c r="J1425" s="898"/>
      <c r="K1425" s="899"/>
      <c r="L1425" s="899"/>
      <c r="M1425" s="899"/>
      <c r="N1425" s="899"/>
      <c r="O1425" s="899"/>
      <c r="P1425" s="899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96"/>
      <c r="E1426" s="677"/>
      <c r="F1426" s="677"/>
      <c r="G1426" s="677"/>
      <c r="H1426" s="897"/>
      <c r="I1426" s="898"/>
      <c r="J1426" s="898"/>
      <c r="K1426" s="899"/>
      <c r="L1426" s="899"/>
      <c r="M1426" s="899"/>
      <c r="N1426" s="899"/>
      <c r="O1426" s="899"/>
      <c r="P1426" s="899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96"/>
      <c r="E1427" s="677"/>
      <c r="F1427" s="677"/>
      <c r="G1427" s="677"/>
      <c r="H1427" s="897"/>
      <c r="I1427" s="898"/>
      <c r="J1427" s="898"/>
      <c r="K1427" s="899"/>
      <c r="L1427" s="899"/>
      <c r="M1427" s="899"/>
      <c r="N1427" s="899"/>
      <c r="O1427" s="899"/>
      <c r="P1427" s="899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96"/>
      <c r="E1428" s="677"/>
      <c r="F1428" s="677"/>
      <c r="G1428" s="677"/>
      <c r="H1428" s="897"/>
      <c r="I1428" s="898"/>
      <c r="J1428" s="898"/>
      <c r="K1428" s="899"/>
      <c r="L1428" s="899"/>
      <c r="M1428" s="899"/>
      <c r="N1428" s="899"/>
      <c r="O1428" s="899"/>
      <c r="P1428" s="899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96"/>
      <c r="E1429" s="677"/>
      <c r="F1429" s="677"/>
      <c r="G1429" s="677"/>
      <c r="H1429" s="897"/>
      <c r="I1429" s="898"/>
      <c r="J1429" s="898"/>
      <c r="K1429" s="899"/>
      <c r="L1429" s="899"/>
      <c r="M1429" s="899"/>
      <c r="N1429" s="899"/>
      <c r="O1429" s="899"/>
      <c r="P1429" s="899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96"/>
      <c r="E1430" s="677"/>
      <c r="F1430" s="677"/>
      <c r="G1430" s="677"/>
      <c r="H1430" s="897"/>
      <c r="I1430" s="898"/>
      <c r="J1430" s="898"/>
      <c r="K1430" s="899"/>
      <c r="L1430" s="899"/>
      <c r="M1430" s="899"/>
      <c r="N1430" s="899"/>
      <c r="O1430" s="899"/>
      <c r="P1430" s="899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96"/>
      <c r="E1431" s="677"/>
      <c r="F1431" s="677"/>
      <c r="G1431" s="677"/>
      <c r="H1431" s="897"/>
      <c r="I1431" s="898"/>
      <c r="J1431" s="898"/>
      <c r="K1431" s="899"/>
      <c r="L1431" s="899"/>
      <c r="M1431" s="899"/>
      <c r="N1431" s="899"/>
      <c r="O1431" s="899"/>
      <c r="P1431" s="899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96"/>
      <c r="E1432" s="677"/>
      <c r="F1432" s="677"/>
      <c r="G1432" s="677"/>
      <c r="H1432" s="897"/>
      <c r="I1432" s="898"/>
      <c r="J1432" s="898"/>
      <c r="K1432" s="899"/>
      <c r="L1432" s="899"/>
      <c r="M1432" s="899"/>
      <c r="N1432" s="899"/>
      <c r="O1432" s="899"/>
      <c r="P1432" s="899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96"/>
      <c r="E1433" s="677"/>
      <c r="F1433" s="677"/>
      <c r="G1433" s="677"/>
      <c r="H1433" s="897"/>
      <c r="I1433" s="898"/>
      <c r="J1433" s="898"/>
      <c r="K1433" s="899"/>
      <c r="L1433" s="899"/>
      <c r="M1433" s="899"/>
      <c r="N1433" s="899"/>
      <c r="O1433" s="899"/>
      <c r="P1433" s="899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96"/>
      <c r="E1434" s="677"/>
      <c r="F1434" s="677"/>
      <c r="G1434" s="677"/>
      <c r="H1434" s="897"/>
      <c r="I1434" s="898"/>
      <c r="J1434" s="898"/>
      <c r="K1434" s="899"/>
      <c r="L1434" s="899"/>
      <c r="M1434" s="899"/>
      <c r="N1434" s="899"/>
      <c r="O1434" s="899"/>
      <c r="P1434" s="899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96"/>
      <c r="E1435" s="677"/>
      <c r="F1435" s="677"/>
      <c r="G1435" s="677"/>
      <c r="H1435" s="897"/>
      <c r="I1435" s="898"/>
      <c r="J1435" s="898"/>
      <c r="K1435" s="899"/>
      <c r="L1435" s="899"/>
      <c r="M1435" s="899"/>
      <c r="N1435" s="899"/>
      <c r="O1435" s="899"/>
      <c r="P1435" s="899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96"/>
      <c r="E1436" s="677"/>
      <c r="F1436" s="677"/>
      <c r="G1436" s="677"/>
      <c r="H1436" s="897"/>
      <c r="I1436" s="898"/>
      <c r="J1436" s="898"/>
      <c r="K1436" s="899"/>
      <c r="L1436" s="899"/>
      <c r="M1436" s="899"/>
      <c r="N1436" s="899"/>
      <c r="O1436" s="899"/>
      <c r="P1436" s="899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96"/>
      <c r="E1437" s="677"/>
      <c r="F1437" s="677"/>
      <c r="G1437" s="677"/>
      <c r="H1437" s="897"/>
      <c r="I1437" s="898"/>
      <c r="J1437" s="898"/>
      <c r="K1437" s="899"/>
      <c r="L1437" s="899"/>
      <c r="M1437" s="899"/>
      <c r="N1437" s="899"/>
      <c r="O1437" s="899"/>
      <c r="P1437" s="899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96"/>
      <c r="E1438" s="677"/>
      <c r="F1438" s="677"/>
      <c r="G1438" s="677"/>
      <c r="H1438" s="897"/>
      <c r="I1438" s="898"/>
      <c r="J1438" s="898"/>
      <c r="K1438" s="899"/>
      <c r="L1438" s="899"/>
      <c r="M1438" s="899"/>
      <c r="N1438" s="899"/>
      <c r="O1438" s="899"/>
      <c r="P1438" s="899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96"/>
      <c r="E1439" s="677"/>
      <c r="F1439" s="677"/>
      <c r="G1439" s="677"/>
      <c r="H1439" s="897"/>
      <c r="I1439" s="898"/>
      <c r="J1439" s="898"/>
      <c r="K1439" s="899"/>
      <c r="L1439" s="899"/>
      <c r="M1439" s="899"/>
      <c r="N1439" s="899"/>
      <c r="O1439" s="899"/>
      <c r="P1439" s="899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96"/>
      <c r="E1440" s="677"/>
      <c r="F1440" s="677"/>
      <c r="G1440" s="677"/>
      <c r="H1440" s="897"/>
      <c r="I1440" s="898"/>
      <c r="J1440" s="898"/>
      <c r="K1440" s="899"/>
      <c r="L1440" s="899"/>
      <c r="M1440" s="899"/>
      <c r="N1440" s="899"/>
      <c r="O1440" s="899"/>
      <c r="P1440" s="899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96"/>
      <c r="E1441" s="677"/>
      <c r="F1441" s="677"/>
      <c r="G1441" s="677"/>
      <c r="H1441" s="897"/>
      <c r="I1441" s="898"/>
      <c r="J1441" s="898"/>
      <c r="K1441" s="899"/>
      <c r="L1441" s="899"/>
      <c r="M1441" s="899"/>
      <c r="N1441" s="899"/>
      <c r="O1441" s="899"/>
      <c r="P1441" s="899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96"/>
      <c r="E1442" s="677"/>
      <c r="F1442" s="677"/>
      <c r="G1442" s="677"/>
      <c r="H1442" s="897"/>
      <c r="I1442" s="898"/>
      <c r="J1442" s="898"/>
      <c r="K1442" s="899"/>
      <c r="L1442" s="899"/>
      <c r="M1442" s="899"/>
      <c r="N1442" s="899"/>
      <c r="O1442" s="899"/>
      <c r="P1442" s="899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96"/>
      <c r="E1443" s="677"/>
      <c r="F1443" s="677"/>
      <c r="G1443" s="677"/>
      <c r="H1443" s="897"/>
      <c r="I1443" s="898"/>
      <c r="J1443" s="898"/>
      <c r="K1443" s="899"/>
      <c r="L1443" s="899"/>
      <c r="M1443" s="899"/>
      <c r="N1443" s="899"/>
      <c r="O1443" s="899"/>
      <c r="P1443" s="899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96"/>
      <c r="E1444" s="677"/>
      <c r="F1444" s="677"/>
      <c r="G1444" s="677"/>
      <c r="H1444" s="897"/>
      <c r="I1444" s="898"/>
      <c r="J1444" s="898"/>
      <c r="K1444" s="899"/>
      <c r="L1444" s="899"/>
      <c r="M1444" s="899"/>
      <c r="N1444" s="899"/>
      <c r="O1444" s="899"/>
      <c r="P1444" s="899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96"/>
      <c r="E1445" s="677"/>
      <c r="F1445" s="677"/>
      <c r="G1445" s="677"/>
      <c r="H1445" s="897"/>
      <c r="I1445" s="898"/>
      <c r="J1445" s="898"/>
      <c r="K1445" s="899"/>
      <c r="L1445" s="899"/>
      <c r="M1445" s="899"/>
      <c r="N1445" s="899"/>
      <c r="O1445" s="899"/>
      <c r="P1445" s="899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96"/>
      <c r="E1446" s="677"/>
      <c r="F1446" s="677"/>
      <c r="G1446" s="677"/>
      <c r="H1446" s="897"/>
      <c r="I1446" s="898"/>
      <c r="J1446" s="898"/>
      <c r="K1446" s="899"/>
      <c r="L1446" s="899"/>
      <c r="M1446" s="899"/>
      <c r="N1446" s="899"/>
      <c r="O1446" s="899"/>
      <c r="P1446" s="899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96"/>
      <c r="E1447" s="677"/>
      <c r="F1447" s="677"/>
      <c r="G1447" s="677"/>
      <c r="H1447" s="897"/>
      <c r="I1447" s="898"/>
      <c r="J1447" s="898"/>
      <c r="K1447" s="899"/>
      <c r="L1447" s="899"/>
      <c r="M1447" s="899"/>
      <c r="N1447" s="899"/>
      <c r="O1447" s="899"/>
      <c r="P1447" s="899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96"/>
      <c r="E1448" s="677"/>
      <c r="F1448" s="677"/>
      <c r="G1448" s="677"/>
      <c r="H1448" s="897"/>
      <c r="I1448" s="898"/>
      <c r="J1448" s="898"/>
      <c r="K1448" s="899"/>
      <c r="L1448" s="899"/>
      <c r="M1448" s="899"/>
      <c r="N1448" s="899"/>
      <c r="O1448" s="899"/>
      <c r="P1448" s="899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96"/>
      <c r="E1449" s="677"/>
      <c r="F1449" s="677"/>
      <c r="G1449" s="677"/>
      <c r="H1449" s="897"/>
      <c r="I1449" s="898"/>
      <c r="J1449" s="898"/>
      <c r="K1449" s="899"/>
      <c r="L1449" s="899"/>
      <c r="M1449" s="899"/>
      <c r="N1449" s="899"/>
      <c r="O1449" s="899"/>
      <c r="P1449" s="899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96"/>
      <c r="E1450" s="677"/>
      <c r="F1450" s="677"/>
      <c r="G1450" s="677"/>
      <c r="H1450" s="897"/>
      <c r="I1450" s="898"/>
      <c r="J1450" s="898"/>
      <c r="K1450" s="899"/>
      <c r="L1450" s="899"/>
      <c r="M1450" s="899"/>
      <c r="N1450" s="899"/>
      <c r="O1450" s="899"/>
      <c r="P1450" s="899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96"/>
      <c r="E1451" s="677"/>
      <c r="F1451" s="677"/>
      <c r="G1451" s="677"/>
      <c r="H1451" s="897"/>
      <c r="I1451" s="898"/>
      <c r="J1451" s="898"/>
      <c r="K1451" s="899"/>
      <c r="L1451" s="899"/>
      <c r="M1451" s="899"/>
      <c r="N1451" s="899"/>
      <c r="O1451" s="899"/>
      <c r="P1451" s="899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96"/>
      <c r="E1452" s="677"/>
      <c r="F1452" s="677"/>
      <c r="G1452" s="677"/>
      <c r="H1452" s="897"/>
      <c r="I1452" s="898"/>
      <c r="J1452" s="898"/>
      <c r="K1452" s="899"/>
      <c r="L1452" s="899"/>
      <c r="M1452" s="899"/>
      <c r="N1452" s="899"/>
      <c r="O1452" s="899"/>
      <c r="P1452" s="899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96"/>
      <c r="E1453" s="677"/>
      <c r="F1453" s="677"/>
      <c r="G1453" s="677"/>
      <c r="H1453" s="897"/>
      <c r="I1453" s="898"/>
      <c r="J1453" s="898"/>
      <c r="K1453" s="899"/>
      <c r="L1453" s="899"/>
      <c r="M1453" s="899"/>
      <c r="N1453" s="899"/>
      <c r="O1453" s="899"/>
      <c r="P1453" s="899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96"/>
      <c r="E1454" s="677"/>
      <c r="F1454" s="677"/>
      <c r="G1454" s="677"/>
      <c r="H1454" s="897"/>
      <c r="I1454" s="898"/>
      <c r="J1454" s="898"/>
      <c r="K1454" s="899"/>
      <c r="L1454" s="899"/>
      <c r="M1454" s="899"/>
      <c r="N1454" s="899"/>
      <c r="O1454" s="899"/>
      <c r="P1454" s="899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96"/>
      <c r="E1455" s="677"/>
      <c r="F1455" s="677"/>
      <c r="G1455" s="677"/>
      <c r="H1455" s="897"/>
      <c r="I1455" s="898"/>
      <c r="J1455" s="898"/>
      <c r="K1455" s="899"/>
      <c r="L1455" s="899"/>
      <c r="M1455" s="899"/>
      <c r="N1455" s="899"/>
      <c r="O1455" s="899"/>
      <c r="P1455" s="899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96"/>
      <c r="E1456" s="677"/>
      <c r="F1456" s="677"/>
      <c r="G1456" s="677"/>
      <c r="H1456" s="897"/>
      <c r="I1456" s="898"/>
      <c r="J1456" s="898"/>
      <c r="K1456" s="899"/>
      <c r="L1456" s="899"/>
      <c r="M1456" s="899"/>
      <c r="N1456" s="899"/>
      <c r="O1456" s="899"/>
      <c r="P1456" s="899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96"/>
      <c r="E1457" s="677"/>
      <c r="F1457" s="677"/>
      <c r="G1457" s="677"/>
      <c r="H1457" s="897"/>
      <c r="I1457" s="898"/>
      <c r="J1457" s="898"/>
      <c r="K1457" s="899"/>
      <c r="L1457" s="899"/>
      <c r="M1457" s="899"/>
      <c r="N1457" s="899"/>
      <c r="O1457" s="899"/>
      <c r="P1457" s="899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96"/>
      <c r="E1458" s="677"/>
      <c r="F1458" s="677"/>
      <c r="G1458" s="677"/>
      <c r="H1458" s="897"/>
      <c r="I1458" s="898"/>
      <c r="J1458" s="898"/>
      <c r="K1458" s="899"/>
      <c r="L1458" s="899"/>
      <c r="M1458" s="899"/>
      <c r="N1458" s="899"/>
      <c r="O1458" s="899"/>
      <c r="P1458" s="899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96"/>
      <c r="E1459" s="677"/>
      <c r="F1459" s="677"/>
      <c r="G1459" s="677"/>
      <c r="H1459" s="897"/>
      <c r="I1459" s="898"/>
      <c r="J1459" s="898"/>
      <c r="K1459" s="899"/>
      <c r="L1459" s="899"/>
      <c r="M1459" s="899"/>
      <c r="N1459" s="899"/>
      <c r="O1459" s="899"/>
      <c r="P1459" s="899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96"/>
      <c r="E1460" s="677"/>
      <c r="F1460" s="677"/>
      <c r="G1460" s="677"/>
      <c r="H1460" s="897"/>
      <c r="I1460" s="898"/>
      <c r="J1460" s="898"/>
      <c r="K1460" s="899"/>
      <c r="L1460" s="899"/>
      <c r="M1460" s="899"/>
      <c r="N1460" s="899"/>
      <c r="O1460" s="899"/>
      <c r="P1460" s="899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96"/>
      <c r="E1461" s="677"/>
      <c r="F1461" s="677"/>
      <c r="G1461" s="677"/>
      <c r="H1461" s="897"/>
      <c r="I1461" s="898"/>
      <c r="J1461" s="898"/>
      <c r="K1461" s="899"/>
      <c r="L1461" s="899"/>
      <c r="M1461" s="899"/>
      <c r="N1461" s="899"/>
      <c r="O1461" s="899"/>
      <c r="P1461" s="899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96"/>
      <c r="E1462" s="677"/>
      <c r="F1462" s="677"/>
      <c r="G1462" s="677"/>
      <c r="H1462" s="897"/>
      <c r="I1462" s="898"/>
      <c r="J1462" s="898"/>
      <c r="K1462" s="899"/>
      <c r="L1462" s="899"/>
      <c r="M1462" s="899"/>
      <c r="N1462" s="899"/>
      <c r="O1462" s="899"/>
      <c r="P1462" s="899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96"/>
      <c r="E1463" s="677"/>
      <c r="F1463" s="677"/>
      <c r="G1463" s="677"/>
      <c r="H1463" s="897"/>
      <c r="I1463" s="898"/>
      <c r="J1463" s="898"/>
      <c r="K1463" s="899"/>
      <c r="L1463" s="899"/>
      <c r="M1463" s="899"/>
      <c r="N1463" s="899"/>
      <c r="O1463" s="899"/>
      <c r="P1463" s="899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96"/>
      <c r="E1464" s="677"/>
      <c r="F1464" s="677"/>
      <c r="G1464" s="677"/>
      <c r="H1464" s="897"/>
      <c r="I1464" s="898"/>
      <c r="J1464" s="898"/>
      <c r="K1464" s="899"/>
      <c r="L1464" s="899"/>
      <c r="M1464" s="899"/>
      <c r="N1464" s="899"/>
      <c r="O1464" s="899"/>
      <c r="P1464" s="899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96"/>
      <c r="E1465" s="677"/>
      <c r="F1465" s="677"/>
      <c r="G1465" s="677"/>
      <c r="H1465" s="897"/>
      <c r="I1465" s="898"/>
      <c r="J1465" s="898"/>
      <c r="K1465" s="899"/>
      <c r="L1465" s="899"/>
      <c r="M1465" s="899"/>
      <c r="N1465" s="899"/>
      <c r="O1465" s="899"/>
      <c r="P1465" s="899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96"/>
      <c r="E1466" s="677"/>
      <c r="F1466" s="677"/>
      <c r="G1466" s="677"/>
      <c r="H1466" s="897"/>
      <c r="I1466" s="898"/>
      <c r="J1466" s="898"/>
      <c r="K1466" s="899"/>
      <c r="L1466" s="899"/>
      <c r="M1466" s="899"/>
      <c r="N1466" s="899"/>
      <c r="O1466" s="899"/>
      <c r="P1466" s="899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96"/>
      <c r="E1467" s="677"/>
      <c r="F1467" s="677"/>
      <c r="G1467" s="677"/>
      <c r="H1467" s="897"/>
      <c r="I1467" s="898"/>
      <c r="J1467" s="898"/>
      <c r="K1467" s="899"/>
      <c r="L1467" s="899"/>
      <c r="M1467" s="899"/>
      <c r="N1467" s="899"/>
      <c r="O1467" s="899"/>
      <c r="P1467" s="899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96"/>
      <c r="E1468" s="677"/>
      <c r="F1468" s="677"/>
      <c r="G1468" s="677"/>
      <c r="H1468" s="897"/>
      <c r="I1468" s="898"/>
      <c r="J1468" s="898"/>
      <c r="K1468" s="899"/>
      <c r="L1468" s="899"/>
      <c r="M1468" s="899"/>
      <c r="N1468" s="899"/>
      <c r="O1468" s="899"/>
      <c r="P1468" s="899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96"/>
      <c r="E1469" s="677"/>
      <c r="F1469" s="677"/>
      <c r="G1469" s="677"/>
      <c r="H1469" s="897"/>
      <c r="I1469" s="898"/>
      <c r="J1469" s="898"/>
      <c r="K1469" s="899"/>
      <c r="L1469" s="899"/>
      <c r="M1469" s="899"/>
      <c r="N1469" s="899"/>
      <c r="O1469" s="899"/>
      <c r="P1469" s="899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96"/>
      <c r="E1470" s="677"/>
      <c r="F1470" s="677"/>
      <c r="G1470" s="677"/>
      <c r="H1470" s="897"/>
      <c r="I1470" s="898"/>
      <c r="J1470" s="898"/>
      <c r="K1470" s="899"/>
      <c r="L1470" s="899"/>
      <c r="M1470" s="899"/>
      <c r="N1470" s="899"/>
      <c r="O1470" s="899"/>
      <c r="P1470" s="899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96"/>
      <c r="E1471" s="677"/>
      <c r="F1471" s="677"/>
      <c r="G1471" s="677"/>
      <c r="H1471" s="897"/>
      <c r="I1471" s="898"/>
      <c r="J1471" s="898"/>
      <c r="K1471" s="899"/>
      <c r="L1471" s="899"/>
      <c r="M1471" s="899"/>
      <c r="N1471" s="899"/>
      <c r="O1471" s="899"/>
      <c r="P1471" s="899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96"/>
      <c r="E1472" s="677"/>
      <c r="F1472" s="677"/>
      <c r="G1472" s="677"/>
      <c r="H1472" s="897"/>
      <c r="I1472" s="898"/>
      <c r="J1472" s="898"/>
      <c r="K1472" s="899"/>
      <c r="L1472" s="899"/>
      <c r="M1472" s="899"/>
      <c r="N1472" s="899"/>
      <c r="O1472" s="899"/>
      <c r="P1472" s="899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96"/>
      <c r="E1473" s="677"/>
      <c r="F1473" s="677"/>
      <c r="G1473" s="677"/>
      <c r="H1473" s="897"/>
      <c r="I1473" s="898"/>
      <c r="J1473" s="898"/>
      <c r="K1473" s="899"/>
      <c r="L1473" s="899"/>
      <c r="M1473" s="899"/>
      <c r="N1473" s="899"/>
      <c r="O1473" s="899"/>
      <c r="P1473" s="899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96"/>
      <c r="E1474" s="677"/>
      <c r="F1474" s="677"/>
      <c r="G1474" s="677"/>
      <c r="H1474" s="897"/>
      <c r="I1474" s="898"/>
      <c r="J1474" s="898"/>
      <c r="K1474" s="899"/>
      <c r="L1474" s="899"/>
      <c r="M1474" s="899"/>
      <c r="N1474" s="899"/>
      <c r="O1474" s="899"/>
      <c r="P1474" s="899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96"/>
      <c r="E1475" s="677"/>
      <c r="F1475" s="677"/>
      <c r="G1475" s="677"/>
      <c r="H1475" s="897"/>
      <c r="I1475" s="898"/>
      <c r="J1475" s="898"/>
      <c r="K1475" s="899"/>
      <c r="L1475" s="899"/>
      <c r="M1475" s="899"/>
      <c r="N1475" s="899"/>
      <c r="O1475" s="899"/>
      <c r="P1475" s="899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96"/>
      <c r="E1476" s="677"/>
      <c r="F1476" s="677"/>
      <c r="G1476" s="677"/>
      <c r="H1476" s="897"/>
      <c r="I1476" s="898"/>
      <c r="J1476" s="898"/>
      <c r="K1476" s="899"/>
      <c r="L1476" s="899"/>
      <c r="M1476" s="899"/>
      <c r="N1476" s="899"/>
      <c r="O1476" s="899"/>
      <c r="P1476" s="899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96"/>
      <c r="E1477" s="677"/>
      <c r="F1477" s="677"/>
      <c r="G1477" s="677"/>
      <c r="H1477" s="897"/>
      <c r="I1477" s="898"/>
      <c r="J1477" s="898"/>
      <c r="K1477" s="899"/>
      <c r="L1477" s="899"/>
      <c r="M1477" s="899"/>
      <c r="N1477" s="899"/>
      <c r="O1477" s="899"/>
      <c r="P1477" s="899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96"/>
      <c r="E1478" s="677"/>
      <c r="F1478" s="677"/>
      <c r="G1478" s="677"/>
      <c r="H1478" s="897"/>
      <c r="I1478" s="898"/>
      <c r="J1478" s="898"/>
      <c r="K1478" s="899"/>
      <c r="L1478" s="899"/>
      <c r="M1478" s="899"/>
      <c r="N1478" s="899"/>
      <c r="O1478" s="899"/>
      <c r="P1478" s="899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96"/>
      <c r="E1479" s="677"/>
      <c r="F1479" s="677"/>
      <c r="G1479" s="677"/>
      <c r="H1479" s="897"/>
      <c r="I1479" s="898"/>
      <c r="J1479" s="898"/>
      <c r="K1479" s="899"/>
      <c r="L1479" s="899"/>
      <c r="M1479" s="899"/>
      <c r="N1479" s="899"/>
      <c r="O1479" s="899"/>
      <c r="P1479" s="899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96"/>
      <c r="E1480" s="677"/>
      <c r="F1480" s="677"/>
      <c r="G1480" s="677"/>
      <c r="H1480" s="897"/>
      <c r="I1480" s="898"/>
      <c r="J1480" s="898"/>
      <c r="K1480" s="899"/>
      <c r="L1480" s="899"/>
      <c r="M1480" s="899"/>
      <c r="N1480" s="899"/>
      <c r="O1480" s="899"/>
      <c r="P1480" s="899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96"/>
      <c r="E1481" s="677"/>
      <c r="F1481" s="677"/>
      <c r="G1481" s="677"/>
      <c r="H1481" s="897"/>
      <c r="I1481" s="898"/>
      <c r="J1481" s="898"/>
      <c r="K1481" s="899"/>
      <c r="L1481" s="899"/>
      <c r="M1481" s="899"/>
      <c r="N1481" s="899"/>
      <c r="O1481" s="899"/>
      <c r="P1481" s="899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96"/>
      <c r="E1482" s="677"/>
      <c r="F1482" s="677"/>
      <c r="G1482" s="677"/>
      <c r="H1482" s="897"/>
      <c r="I1482" s="898"/>
      <c r="J1482" s="898"/>
      <c r="K1482" s="899"/>
      <c r="L1482" s="899"/>
      <c r="M1482" s="899"/>
      <c r="N1482" s="899"/>
      <c r="O1482" s="899"/>
      <c r="P1482" s="899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96"/>
      <c r="E1483" s="677"/>
      <c r="F1483" s="677"/>
      <c r="G1483" s="677"/>
      <c r="H1483" s="897"/>
      <c r="I1483" s="898"/>
      <c r="J1483" s="898"/>
      <c r="K1483" s="899"/>
      <c r="L1483" s="899"/>
      <c r="M1483" s="899"/>
      <c r="N1483" s="899"/>
      <c r="O1483" s="899"/>
      <c r="P1483" s="899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96"/>
      <c r="E1484" s="677"/>
      <c r="F1484" s="677"/>
      <c r="G1484" s="677"/>
      <c r="H1484" s="897"/>
      <c r="I1484" s="898"/>
      <c r="J1484" s="898"/>
      <c r="K1484" s="899"/>
      <c r="L1484" s="899"/>
      <c r="M1484" s="899"/>
      <c r="N1484" s="899"/>
      <c r="O1484" s="899"/>
      <c r="P1484" s="899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96"/>
      <c r="E1485" s="677"/>
      <c r="F1485" s="677"/>
      <c r="G1485" s="677"/>
      <c r="H1485" s="897"/>
      <c r="I1485" s="898"/>
      <c r="J1485" s="898"/>
      <c r="K1485" s="899"/>
      <c r="L1485" s="899"/>
      <c r="M1485" s="899"/>
      <c r="N1485" s="899"/>
      <c r="O1485" s="899"/>
      <c r="P1485" s="899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96"/>
      <c r="E1486" s="677"/>
      <c r="F1486" s="677"/>
      <c r="G1486" s="677"/>
      <c r="H1486" s="897"/>
      <c r="I1486" s="898"/>
      <c r="J1486" s="898"/>
      <c r="K1486" s="899"/>
      <c r="L1486" s="899"/>
      <c r="M1486" s="899"/>
      <c r="N1486" s="899"/>
      <c r="O1486" s="899"/>
      <c r="P1486" s="899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96"/>
      <c r="E1487" s="677"/>
      <c r="F1487" s="677"/>
      <c r="G1487" s="677"/>
      <c r="H1487" s="897"/>
      <c r="I1487" s="898"/>
      <c r="J1487" s="898"/>
      <c r="K1487" s="899"/>
      <c r="L1487" s="899"/>
      <c r="M1487" s="899"/>
      <c r="N1487" s="899"/>
      <c r="O1487" s="899"/>
      <c r="P1487" s="899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96"/>
      <c r="E1488" s="677"/>
      <c r="F1488" s="677"/>
      <c r="G1488" s="677"/>
      <c r="H1488" s="897"/>
      <c r="I1488" s="898"/>
      <c r="J1488" s="898"/>
      <c r="K1488" s="899"/>
      <c r="L1488" s="899"/>
      <c r="M1488" s="899"/>
      <c r="N1488" s="899"/>
      <c r="O1488" s="899"/>
      <c r="P1488" s="899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96"/>
      <c r="E1489" s="677"/>
      <c r="F1489" s="677"/>
      <c r="G1489" s="677"/>
      <c r="H1489" s="897"/>
      <c r="I1489" s="898"/>
      <c r="J1489" s="898"/>
      <c r="K1489" s="899"/>
      <c r="L1489" s="899"/>
      <c r="M1489" s="899"/>
      <c r="N1489" s="899"/>
      <c r="O1489" s="899"/>
      <c r="P1489" s="899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96"/>
      <c r="E1490" s="677"/>
      <c r="F1490" s="677"/>
      <c r="G1490" s="677"/>
      <c r="H1490" s="897"/>
      <c r="I1490" s="898"/>
      <c r="J1490" s="898"/>
      <c r="K1490" s="899"/>
      <c r="L1490" s="899"/>
      <c r="M1490" s="899"/>
      <c r="N1490" s="899"/>
      <c r="O1490" s="899"/>
      <c r="P1490" s="899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96"/>
      <c r="E1491" s="677"/>
      <c r="F1491" s="677"/>
      <c r="G1491" s="677"/>
      <c r="H1491" s="897"/>
      <c r="I1491" s="898"/>
      <c r="J1491" s="898"/>
      <c r="K1491" s="899"/>
      <c r="L1491" s="899"/>
      <c r="M1491" s="899"/>
      <c r="N1491" s="899"/>
      <c r="O1491" s="899"/>
      <c r="P1491" s="899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96"/>
      <c r="E1492" s="677"/>
      <c r="F1492" s="677"/>
      <c r="G1492" s="677"/>
      <c r="H1492" s="897"/>
      <c r="I1492" s="898"/>
      <c r="J1492" s="898"/>
      <c r="K1492" s="899"/>
      <c r="L1492" s="899"/>
      <c r="M1492" s="899"/>
      <c r="N1492" s="899"/>
      <c r="O1492" s="899"/>
      <c r="P1492" s="899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96"/>
      <c r="E1493" s="677"/>
      <c r="F1493" s="677"/>
      <c r="G1493" s="677"/>
      <c r="H1493" s="897"/>
      <c r="I1493" s="898"/>
      <c r="J1493" s="898"/>
      <c r="K1493" s="899"/>
      <c r="L1493" s="899"/>
      <c r="M1493" s="899"/>
      <c r="N1493" s="899"/>
      <c r="O1493" s="899"/>
      <c r="P1493" s="899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96"/>
      <c r="E1494" s="677"/>
      <c r="F1494" s="677"/>
      <c r="G1494" s="677"/>
      <c r="H1494" s="897"/>
      <c r="I1494" s="898"/>
      <c r="J1494" s="898"/>
      <c r="K1494" s="899"/>
      <c r="L1494" s="899"/>
      <c r="M1494" s="899"/>
      <c r="N1494" s="899"/>
      <c r="O1494" s="899"/>
      <c r="P1494" s="899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96"/>
      <c r="E1495" s="677"/>
      <c r="F1495" s="677"/>
      <c r="G1495" s="677"/>
      <c r="H1495" s="897"/>
      <c r="I1495" s="898"/>
      <c r="J1495" s="898"/>
      <c r="K1495" s="899"/>
      <c r="L1495" s="899"/>
      <c r="M1495" s="899"/>
      <c r="N1495" s="899"/>
      <c r="O1495" s="899"/>
      <c r="P1495" s="899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96"/>
      <c r="E1496" s="677"/>
      <c r="F1496" s="677"/>
      <c r="G1496" s="677"/>
      <c r="H1496" s="897"/>
      <c r="I1496" s="898"/>
      <c r="J1496" s="898"/>
      <c r="K1496" s="899"/>
      <c r="L1496" s="899"/>
      <c r="M1496" s="899"/>
      <c r="N1496" s="899"/>
      <c r="O1496" s="899"/>
      <c r="P1496" s="899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96"/>
      <c r="E1497" s="677"/>
      <c r="F1497" s="677"/>
      <c r="G1497" s="677"/>
      <c r="H1497" s="897"/>
      <c r="I1497" s="898"/>
      <c r="J1497" s="898"/>
      <c r="K1497" s="899"/>
      <c r="L1497" s="899"/>
      <c r="M1497" s="899"/>
      <c r="N1497" s="899"/>
      <c r="O1497" s="899"/>
      <c r="P1497" s="899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96"/>
      <c r="E1498" s="677"/>
      <c r="F1498" s="677"/>
      <c r="G1498" s="677"/>
      <c r="H1498" s="897"/>
      <c r="I1498" s="898"/>
      <c r="J1498" s="898"/>
      <c r="K1498" s="899"/>
      <c r="L1498" s="899"/>
      <c r="M1498" s="899"/>
      <c r="N1498" s="899"/>
      <c r="O1498" s="899"/>
      <c r="P1498" s="899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96"/>
      <c r="E1499" s="677"/>
      <c r="F1499" s="677"/>
      <c r="G1499" s="677"/>
      <c r="H1499" s="897"/>
      <c r="I1499" s="898"/>
      <c r="J1499" s="898"/>
      <c r="K1499" s="899"/>
      <c r="L1499" s="899"/>
      <c r="M1499" s="899"/>
      <c r="N1499" s="899"/>
      <c r="O1499" s="899"/>
      <c r="P1499" s="899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96"/>
      <c r="E1500" s="677"/>
      <c r="F1500" s="677"/>
      <c r="G1500" s="677"/>
      <c r="H1500" s="897"/>
      <c r="I1500" s="898"/>
      <c r="J1500" s="898"/>
      <c r="K1500" s="899"/>
      <c r="L1500" s="899"/>
      <c r="M1500" s="899"/>
      <c r="N1500" s="899"/>
      <c r="O1500" s="899"/>
      <c r="P1500" s="899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96"/>
      <c r="E1501" s="677"/>
      <c r="F1501" s="677"/>
      <c r="G1501" s="677"/>
      <c r="H1501" s="897"/>
      <c r="I1501" s="898"/>
      <c r="J1501" s="898"/>
      <c r="K1501" s="899"/>
      <c r="L1501" s="899"/>
      <c r="M1501" s="899"/>
      <c r="N1501" s="899"/>
      <c r="O1501" s="899"/>
      <c r="P1501" s="899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96"/>
      <c r="E1502" s="677"/>
      <c r="F1502" s="677"/>
      <c r="G1502" s="677"/>
      <c r="H1502" s="897"/>
      <c r="I1502" s="898"/>
      <c r="J1502" s="898"/>
      <c r="K1502" s="899"/>
      <c r="L1502" s="899"/>
      <c r="M1502" s="899"/>
      <c r="N1502" s="899"/>
      <c r="O1502" s="899"/>
      <c r="P1502" s="899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96"/>
      <c r="E1503" s="677"/>
      <c r="F1503" s="677"/>
      <c r="G1503" s="677"/>
      <c r="H1503" s="897"/>
      <c r="I1503" s="898"/>
      <c r="J1503" s="898"/>
      <c r="K1503" s="899"/>
      <c r="L1503" s="899"/>
      <c r="M1503" s="899"/>
      <c r="N1503" s="899"/>
      <c r="O1503" s="899"/>
      <c r="P1503" s="899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96"/>
      <c r="E1504" s="677"/>
      <c r="F1504" s="677"/>
      <c r="G1504" s="677"/>
      <c r="H1504" s="897"/>
      <c r="I1504" s="898"/>
      <c r="J1504" s="898"/>
      <c r="K1504" s="899"/>
      <c r="L1504" s="899"/>
      <c r="M1504" s="899"/>
      <c r="N1504" s="899"/>
      <c r="O1504" s="899"/>
      <c r="P1504" s="899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96"/>
      <c r="E1505" s="677"/>
      <c r="F1505" s="677"/>
      <c r="G1505" s="677"/>
      <c r="H1505" s="897"/>
      <c r="I1505" s="898"/>
      <c r="J1505" s="898"/>
      <c r="K1505" s="899"/>
      <c r="L1505" s="899"/>
      <c r="M1505" s="899"/>
      <c r="N1505" s="899"/>
      <c r="O1505" s="899"/>
      <c r="P1505" s="899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96"/>
      <c r="E1506" s="677"/>
      <c r="F1506" s="677"/>
      <c r="G1506" s="677"/>
      <c r="H1506" s="897"/>
      <c r="I1506" s="898"/>
      <c r="J1506" s="898"/>
      <c r="K1506" s="899"/>
      <c r="L1506" s="899"/>
      <c r="M1506" s="899"/>
      <c r="N1506" s="899"/>
      <c r="O1506" s="899"/>
      <c r="P1506" s="899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96"/>
      <c r="E1507" s="677"/>
      <c r="F1507" s="677"/>
      <c r="G1507" s="677"/>
      <c r="H1507" s="897"/>
      <c r="I1507" s="898"/>
      <c r="J1507" s="898"/>
      <c r="K1507" s="899"/>
      <c r="L1507" s="899"/>
      <c r="M1507" s="899"/>
      <c r="N1507" s="899"/>
      <c r="O1507" s="899"/>
      <c r="P1507" s="899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96"/>
      <c r="E1508" s="677"/>
      <c r="F1508" s="677"/>
      <c r="G1508" s="677"/>
      <c r="H1508" s="897"/>
      <c r="I1508" s="898"/>
      <c r="J1508" s="898"/>
      <c r="K1508" s="899"/>
      <c r="L1508" s="899"/>
      <c r="M1508" s="899"/>
      <c r="N1508" s="899"/>
      <c r="O1508" s="899"/>
      <c r="P1508" s="899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96"/>
      <c r="E1509" s="677"/>
      <c r="F1509" s="677"/>
      <c r="G1509" s="677"/>
      <c r="H1509" s="897"/>
      <c r="I1509" s="898"/>
      <c r="J1509" s="898"/>
      <c r="K1509" s="899"/>
      <c r="L1509" s="899"/>
      <c r="M1509" s="899"/>
      <c r="N1509" s="899"/>
      <c r="O1509" s="899"/>
      <c r="P1509" s="899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96"/>
      <c r="E1510" s="677"/>
      <c r="F1510" s="677"/>
      <c r="G1510" s="677"/>
      <c r="H1510" s="897"/>
      <c r="I1510" s="898"/>
      <c r="J1510" s="898"/>
      <c r="K1510" s="899"/>
      <c r="L1510" s="899"/>
      <c r="M1510" s="899"/>
      <c r="N1510" s="899"/>
      <c r="O1510" s="899"/>
      <c r="P1510" s="899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96"/>
      <c r="E1511" s="677"/>
      <c r="F1511" s="677"/>
      <c r="G1511" s="677"/>
      <c r="H1511" s="897"/>
      <c r="I1511" s="898"/>
      <c r="J1511" s="898"/>
      <c r="K1511" s="899"/>
      <c r="L1511" s="899"/>
      <c r="M1511" s="899"/>
      <c r="N1511" s="899"/>
      <c r="O1511" s="899"/>
      <c r="P1511" s="899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96"/>
      <c r="E1512" s="677"/>
      <c r="F1512" s="677"/>
      <c r="G1512" s="677"/>
      <c r="H1512" s="897"/>
      <c r="I1512" s="898"/>
      <c r="J1512" s="898"/>
      <c r="K1512" s="899"/>
      <c r="L1512" s="899"/>
      <c r="M1512" s="899"/>
      <c r="N1512" s="899"/>
      <c r="O1512" s="899"/>
      <c r="P1512" s="899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96"/>
      <c r="E1513" s="677"/>
      <c r="F1513" s="677"/>
      <c r="G1513" s="677"/>
      <c r="H1513" s="897"/>
      <c r="I1513" s="898"/>
      <c r="J1513" s="898"/>
      <c r="K1513" s="899"/>
      <c r="L1513" s="899"/>
      <c r="M1513" s="899"/>
      <c r="N1513" s="899"/>
      <c r="O1513" s="899"/>
      <c r="P1513" s="899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96"/>
      <c r="E1514" s="677"/>
      <c r="F1514" s="677"/>
      <c r="G1514" s="677"/>
      <c r="H1514" s="897"/>
      <c r="I1514" s="898"/>
      <c r="J1514" s="898"/>
      <c r="K1514" s="899"/>
      <c r="L1514" s="899"/>
      <c r="M1514" s="899"/>
      <c r="N1514" s="899"/>
      <c r="O1514" s="899"/>
      <c r="P1514" s="899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96"/>
      <c r="E1515" s="677"/>
      <c r="F1515" s="677"/>
      <c r="G1515" s="677"/>
      <c r="H1515" s="897"/>
      <c r="I1515" s="898"/>
      <c r="J1515" s="898"/>
      <c r="K1515" s="899"/>
      <c r="L1515" s="899"/>
      <c r="M1515" s="899"/>
      <c r="N1515" s="899"/>
      <c r="O1515" s="899"/>
      <c r="P1515" s="899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96"/>
      <c r="E1516" s="677"/>
      <c r="F1516" s="677"/>
      <c r="G1516" s="677"/>
      <c r="H1516" s="897"/>
      <c r="I1516" s="898"/>
      <c r="J1516" s="898"/>
      <c r="K1516" s="899"/>
      <c r="L1516" s="899"/>
      <c r="M1516" s="899"/>
      <c r="N1516" s="899"/>
      <c r="O1516" s="899"/>
      <c r="P1516" s="899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96"/>
      <c r="E1517" s="677"/>
      <c r="F1517" s="677"/>
      <c r="G1517" s="677"/>
      <c r="H1517" s="897"/>
      <c r="I1517" s="898"/>
      <c r="J1517" s="898"/>
      <c r="K1517" s="899"/>
      <c r="L1517" s="899"/>
      <c r="M1517" s="899"/>
      <c r="N1517" s="899"/>
      <c r="O1517" s="899"/>
      <c r="P1517" s="899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96"/>
      <c r="E1518" s="677"/>
      <c r="F1518" s="677"/>
      <c r="G1518" s="677"/>
      <c r="H1518" s="897"/>
      <c r="I1518" s="898"/>
      <c r="J1518" s="898"/>
      <c r="K1518" s="899"/>
      <c r="L1518" s="899"/>
      <c r="M1518" s="899"/>
      <c r="N1518" s="899"/>
      <c r="O1518" s="899"/>
      <c r="P1518" s="899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96"/>
      <c r="E1519" s="677"/>
      <c r="F1519" s="677"/>
      <c r="G1519" s="677"/>
      <c r="H1519" s="897"/>
      <c r="I1519" s="898"/>
      <c r="J1519" s="898"/>
      <c r="K1519" s="899"/>
      <c r="L1519" s="899"/>
      <c r="M1519" s="899"/>
      <c r="N1519" s="899"/>
      <c r="O1519" s="899"/>
      <c r="P1519" s="899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96"/>
      <c r="E1520" s="677"/>
      <c r="F1520" s="677"/>
      <c r="G1520" s="677"/>
      <c r="H1520" s="897"/>
      <c r="I1520" s="898"/>
      <c r="J1520" s="898"/>
      <c r="K1520" s="899"/>
      <c r="L1520" s="899"/>
      <c r="M1520" s="899"/>
      <c r="N1520" s="899"/>
      <c r="O1520" s="899"/>
      <c r="P1520" s="899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96"/>
      <c r="E1521" s="677"/>
      <c r="F1521" s="677"/>
      <c r="G1521" s="677"/>
      <c r="H1521" s="897"/>
      <c r="I1521" s="898"/>
      <c r="J1521" s="898"/>
      <c r="K1521" s="899"/>
      <c r="L1521" s="899"/>
      <c r="M1521" s="899"/>
      <c r="N1521" s="899"/>
      <c r="O1521" s="899"/>
      <c r="P1521" s="899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96"/>
      <c r="E1522" s="677"/>
      <c r="F1522" s="677"/>
      <c r="G1522" s="677"/>
      <c r="H1522" s="897"/>
      <c r="I1522" s="898"/>
      <c r="J1522" s="898"/>
      <c r="K1522" s="899"/>
      <c r="L1522" s="899"/>
      <c r="M1522" s="899"/>
      <c r="N1522" s="899"/>
      <c r="O1522" s="899"/>
      <c r="P1522" s="899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96"/>
      <c r="E1523" s="677"/>
      <c r="F1523" s="677"/>
      <c r="G1523" s="677"/>
      <c r="H1523" s="897"/>
      <c r="I1523" s="898"/>
      <c r="J1523" s="898"/>
      <c r="K1523" s="899"/>
      <c r="L1523" s="899"/>
      <c r="M1523" s="899"/>
      <c r="N1523" s="899"/>
      <c r="O1523" s="899"/>
      <c r="P1523" s="899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96"/>
      <c r="E1524" s="677"/>
      <c r="F1524" s="677"/>
      <c r="G1524" s="677"/>
      <c r="H1524" s="897"/>
      <c r="I1524" s="898"/>
      <c r="J1524" s="898"/>
      <c r="K1524" s="899"/>
      <c r="L1524" s="899"/>
      <c r="M1524" s="899"/>
      <c r="N1524" s="899"/>
      <c r="O1524" s="899"/>
      <c r="P1524" s="899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96"/>
      <c r="E1525" s="677"/>
      <c r="F1525" s="677"/>
      <c r="G1525" s="677"/>
      <c r="H1525" s="897"/>
      <c r="I1525" s="898"/>
      <c r="J1525" s="898"/>
      <c r="K1525" s="899"/>
      <c r="L1525" s="899"/>
      <c r="M1525" s="899"/>
      <c r="N1525" s="899"/>
      <c r="O1525" s="899"/>
      <c r="P1525" s="899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96"/>
      <c r="E1526" s="677"/>
      <c r="F1526" s="677"/>
      <c r="G1526" s="677"/>
      <c r="H1526" s="897"/>
      <c r="I1526" s="898"/>
      <c r="J1526" s="898"/>
      <c r="K1526" s="899"/>
      <c r="L1526" s="899"/>
      <c r="M1526" s="899"/>
      <c r="N1526" s="899"/>
      <c r="O1526" s="899"/>
      <c r="P1526" s="899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96"/>
      <c r="E1527" s="677"/>
      <c r="F1527" s="677"/>
      <c r="G1527" s="677"/>
      <c r="H1527" s="897"/>
      <c r="I1527" s="898"/>
      <c r="J1527" s="898"/>
      <c r="K1527" s="899"/>
      <c r="L1527" s="899"/>
      <c r="M1527" s="899"/>
      <c r="N1527" s="899"/>
      <c r="O1527" s="899"/>
      <c r="P1527" s="899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96"/>
      <c r="E1528" s="677"/>
      <c r="F1528" s="677"/>
      <c r="G1528" s="677"/>
      <c r="H1528" s="897"/>
      <c r="I1528" s="898"/>
      <c r="J1528" s="898"/>
      <c r="K1528" s="899"/>
      <c r="L1528" s="899"/>
      <c r="M1528" s="899"/>
      <c r="N1528" s="899"/>
      <c r="O1528" s="899"/>
      <c r="P1528" s="899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96"/>
      <c r="E1529" s="677"/>
      <c r="F1529" s="677"/>
      <c r="G1529" s="677"/>
      <c r="H1529" s="897"/>
      <c r="I1529" s="898"/>
      <c r="J1529" s="898"/>
      <c r="K1529" s="899"/>
      <c r="L1529" s="899"/>
      <c r="M1529" s="899"/>
      <c r="N1529" s="899"/>
      <c r="O1529" s="899"/>
      <c r="P1529" s="899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96"/>
      <c r="E1530" s="677"/>
      <c r="F1530" s="677"/>
      <c r="G1530" s="677"/>
      <c r="H1530" s="897"/>
      <c r="I1530" s="898"/>
      <c r="J1530" s="898"/>
      <c r="K1530" s="899"/>
      <c r="L1530" s="899"/>
      <c r="M1530" s="899"/>
      <c r="N1530" s="899"/>
      <c r="O1530" s="899"/>
      <c r="P1530" s="899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96"/>
      <c r="E1531" s="677"/>
      <c r="F1531" s="677"/>
      <c r="G1531" s="677"/>
      <c r="H1531" s="897"/>
      <c r="I1531" s="898"/>
      <c r="J1531" s="898"/>
      <c r="K1531" s="899"/>
      <c r="L1531" s="899"/>
      <c r="M1531" s="899"/>
      <c r="N1531" s="899"/>
      <c r="O1531" s="899"/>
      <c r="P1531" s="899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96"/>
      <c r="E1532" s="677"/>
      <c r="F1532" s="677"/>
      <c r="G1532" s="677"/>
      <c r="H1532" s="897"/>
      <c r="I1532" s="898"/>
      <c r="J1532" s="898"/>
      <c r="K1532" s="899"/>
      <c r="L1532" s="899"/>
      <c r="M1532" s="899"/>
      <c r="N1532" s="899"/>
      <c r="O1532" s="899"/>
      <c r="P1532" s="899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96"/>
      <c r="E1533" s="677"/>
      <c r="F1533" s="677"/>
      <c r="G1533" s="677"/>
      <c r="H1533" s="897"/>
      <c r="I1533" s="898"/>
      <c r="J1533" s="898"/>
      <c r="K1533" s="899"/>
      <c r="L1533" s="899"/>
      <c r="M1533" s="899"/>
      <c r="N1533" s="899"/>
      <c r="O1533" s="899"/>
      <c r="P1533" s="899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96"/>
      <c r="E1534" s="677"/>
      <c r="F1534" s="677"/>
      <c r="G1534" s="677"/>
      <c r="H1534" s="897"/>
      <c r="I1534" s="898"/>
      <c r="J1534" s="898"/>
      <c r="K1534" s="899"/>
      <c r="L1534" s="899"/>
      <c r="M1534" s="899"/>
      <c r="N1534" s="899"/>
      <c r="O1534" s="899"/>
      <c r="P1534" s="899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96"/>
      <c r="E1535" s="677"/>
      <c r="F1535" s="677"/>
      <c r="G1535" s="677"/>
      <c r="H1535" s="897"/>
      <c r="I1535" s="898"/>
      <c r="J1535" s="898"/>
      <c r="K1535" s="899"/>
      <c r="L1535" s="899"/>
      <c r="M1535" s="899"/>
      <c r="N1535" s="899"/>
      <c r="O1535" s="899"/>
      <c r="P1535" s="899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96"/>
      <c r="E1536" s="677"/>
      <c r="F1536" s="677"/>
      <c r="G1536" s="677"/>
      <c r="H1536" s="897"/>
      <c r="I1536" s="898"/>
      <c r="J1536" s="898"/>
      <c r="K1536" s="899"/>
      <c r="L1536" s="899"/>
      <c r="M1536" s="899"/>
      <c r="N1536" s="899"/>
      <c r="O1536" s="899"/>
      <c r="P1536" s="899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96"/>
      <c r="E1537" s="677"/>
      <c r="F1537" s="677"/>
      <c r="G1537" s="677"/>
      <c r="H1537" s="897"/>
      <c r="I1537" s="898"/>
      <c r="J1537" s="898"/>
      <c r="K1537" s="899"/>
      <c r="L1537" s="899"/>
      <c r="M1537" s="899"/>
      <c r="N1537" s="899"/>
      <c r="O1537" s="899"/>
      <c r="P1537" s="899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96"/>
      <c r="E1538" s="677"/>
      <c r="F1538" s="677"/>
      <c r="G1538" s="677"/>
      <c r="H1538" s="897"/>
      <c r="I1538" s="898"/>
      <c r="J1538" s="898"/>
      <c r="K1538" s="899"/>
      <c r="L1538" s="899"/>
      <c r="M1538" s="899"/>
      <c r="N1538" s="899"/>
      <c r="O1538" s="899"/>
      <c r="P1538" s="899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96"/>
      <c r="E1539" s="677"/>
      <c r="F1539" s="677"/>
      <c r="G1539" s="677"/>
      <c r="H1539" s="897"/>
      <c r="I1539" s="898"/>
      <c r="J1539" s="898"/>
      <c r="K1539" s="899"/>
      <c r="L1539" s="899"/>
      <c r="M1539" s="899"/>
      <c r="N1539" s="899"/>
      <c r="O1539" s="899"/>
      <c r="P1539" s="899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96"/>
      <c r="E1540" s="677"/>
      <c r="F1540" s="677"/>
      <c r="G1540" s="677"/>
      <c r="H1540" s="897"/>
      <c r="I1540" s="898"/>
      <c r="J1540" s="898"/>
      <c r="K1540" s="899"/>
      <c r="L1540" s="899"/>
      <c r="M1540" s="899"/>
      <c r="N1540" s="899"/>
      <c r="O1540" s="899"/>
      <c r="P1540" s="899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96"/>
      <c r="E1541" s="677"/>
      <c r="F1541" s="677"/>
      <c r="G1541" s="677"/>
      <c r="H1541" s="897"/>
      <c r="I1541" s="898"/>
      <c r="J1541" s="898"/>
      <c r="K1541" s="899"/>
      <c r="L1541" s="899"/>
      <c r="M1541" s="899"/>
      <c r="N1541" s="899"/>
      <c r="O1541" s="899"/>
      <c r="P1541" s="899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96"/>
      <c r="E1542" s="677"/>
      <c r="F1542" s="677"/>
      <c r="G1542" s="677"/>
      <c r="H1542" s="897"/>
      <c r="I1542" s="898"/>
      <c r="J1542" s="898"/>
      <c r="K1542" s="899"/>
      <c r="L1542" s="899"/>
      <c r="M1542" s="899"/>
      <c r="N1542" s="899"/>
      <c r="O1542" s="899"/>
      <c r="P1542" s="899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96"/>
      <c r="E1543" s="677"/>
      <c r="F1543" s="677"/>
      <c r="G1543" s="677"/>
      <c r="H1543" s="897"/>
      <c r="I1543" s="898"/>
      <c r="J1543" s="898"/>
      <c r="K1543" s="899"/>
      <c r="L1543" s="899"/>
      <c r="M1543" s="899"/>
      <c r="N1543" s="899"/>
      <c r="O1543" s="899"/>
      <c r="P1543" s="899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96"/>
      <c r="E1544" s="677"/>
      <c r="F1544" s="677"/>
      <c r="G1544" s="677"/>
      <c r="H1544" s="897"/>
      <c r="I1544" s="898"/>
      <c r="J1544" s="898"/>
      <c r="K1544" s="899"/>
      <c r="L1544" s="899"/>
      <c r="M1544" s="899"/>
      <c r="N1544" s="899"/>
      <c r="O1544" s="899"/>
      <c r="P1544" s="899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96"/>
      <c r="E1545" s="677"/>
      <c r="F1545" s="677"/>
      <c r="G1545" s="677"/>
      <c r="H1545" s="897"/>
      <c r="I1545" s="898"/>
      <c r="J1545" s="898"/>
      <c r="K1545" s="899"/>
      <c r="L1545" s="899"/>
      <c r="M1545" s="899"/>
      <c r="N1545" s="899"/>
      <c r="O1545" s="899"/>
      <c r="P1545" s="899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96"/>
      <c r="E1546" s="677"/>
      <c r="F1546" s="677"/>
      <c r="G1546" s="677"/>
      <c r="H1546" s="897"/>
      <c r="I1546" s="898"/>
      <c r="J1546" s="898"/>
      <c r="K1546" s="899"/>
      <c r="L1546" s="899"/>
      <c r="M1546" s="899"/>
      <c r="N1546" s="899"/>
      <c r="O1546" s="899"/>
      <c r="P1546" s="899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96"/>
      <c r="E1547" s="677"/>
      <c r="F1547" s="677"/>
      <c r="G1547" s="677"/>
      <c r="H1547" s="897"/>
      <c r="I1547" s="898"/>
      <c r="J1547" s="898"/>
      <c r="K1547" s="899"/>
      <c r="L1547" s="899"/>
      <c r="M1547" s="899"/>
      <c r="N1547" s="899"/>
      <c r="O1547" s="899"/>
      <c r="P1547" s="899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96"/>
      <c r="E1548" s="677"/>
      <c r="F1548" s="677"/>
      <c r="G1548" s="677"/>
      <c r="H1548" s="897"/>
      <c r="I1548" s="898"/>
      <c r="J1548" s="898"/>
      <c r="K1548" s="899"/>
      <c r="L1548" s="899"/>
      <c r="M1548" s="899"/>
      <c r="N1548" s="899"/>
      <c r="O1548" s="899"/>
      <c r="P1548" s="899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96"/>
      <c r="E1549" s="677"/>
      <c r="F1549" s="677"/>
      <c r="G1549" s="677"/>
      <c r="H1549" s="897"/>
      <c r="I1549" s="898"/>
      <c r="J1549" s="898"/>
      <c r="K1549" s="899"/>
      <c r="L1549" s="899"/>
      <c r="M1549" s="899"/>
      <c r="N1549" s="899"/>
      <c r="O1549" s="899"/>
      <c r="P1549" s="899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96"/>
      <c r="E1550" s="677"/>
      <c r="F1550" s="677"/>
      <c r="G1550" s="677"/>
      <c r="H1550" s="897"/>
      <c r="I1550" s="898"/>
      <c r="J1550" s="898"/>
      <c r="K1550" s="899"/>
      <c r="L1550" s="899"/>
      <c r="M1550" s="899"/>
      <c r="N1550" s="899"/>
      <c r="O1550" s="899"/>
      <c r="P1550" s="899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96"/>
      <c r="E1551" s="677"/>
      <c r="F1551" s="677"/>
      <c r="G1551" s="677"/>
      <c r="H1551" s="897"/>
      <c r="I1551" s="898"/>
      <c r="J1551" s="898"/>
      <c r="K1551" s="899"/>
      <c r="L1551" s="899"/>
      <c r="M1551" s="899"/>
      <c r="N1551" s="899"/>
      <c r="O1551" s="899"/>
      <c r="P1551" s="899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96"/>
      <c r="E1552" s="677"/>
      <c r="F1552" s="677"/>
      <c r="G1552" s="677"/>
      <c r="H1552" s="897"/>
      <c r="I1552" s="898"/>
      <c r="J1552" s="898"/>
      <c r="K1552" s="899"/>
      <c r="L1552" s="899"/>
      <c r="M1552" s="899"/>
      <c r="N1552" s="899"/>
      <c r="O1552" s="899"/>
      <c r="P1552" s="899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96"/>
      <c r="E1553" s="677"/>
      <c r="F1553" s="677"/>
      <c r="G1553" s="677"/>
      <c r="H1553" s="897"/>
      <c r="I1553" s="898"/>
      <c r="J1553" s="898"/>
      <c r="K1553" s="899"/>
      <c r="L1553" s="899"/>
      <c r="M1553" s="899"/>
      <c r="N1553" s="899"/>
      <c r="O1553" s="899"/>
      <c r="P1553" s="899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96"/>
      <c r="E1554" s="677"/>
      <c r="F1554" s="677"/>
      <c r="G1554" s="677"/>
      <c r="H1554" s="897"/>
      <c r="I1554" s="898"/>
      <c r="J1554" s="898"/>
      <c r="K1554" s="899"/>
      <c r="L1554" s="899"/>
      <c r="M1554" s="899"/>
      <c r="N1554" s="899"/>
      <c r="O1554" s="899"/>
      <c r="P1554" s="899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96"/>
      <c r="E1555" s="677"/>
      <c r="F1555" s="677"/>
      <c r="G1555" s="677"/>
      <c r="H1555" s="897"/>
      <c r="I1555" s="898"/>
      <c r="J1555" s="898"/>
      <c r="K1555" s="899"/>
      <c r="L1555" s="899"/>
      <c r="M1555" s="899"/>
      <c r="N1555" s="899"/>
      <c r="O1555" s="899"/>
      <c r="P1555" s="899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96"/>
      <c r="E1556" s="677"/>
      <c r="F1556" s="677"/>
      <c r="G1556" s="677"/>
      <c r="H1556" s="897"/>
      <c r="I1556" s="898"/>
      <c r="J1556" s="898"/>
      <c r="K1556" s="899"/>
      <c r="L1556" s="899"/>
      <c r="M1556" s="899"/>
      <c r="N1556" s="899"/>
      <c r="O1556" s="899"/>
      <c r="P1556" s="899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96"/>
      <c r="E1557" s="677"/>
      <c r="F1557" s="677"/>
      <c r="G1557" s="677"/>
      <c r="H1557" s="897"/>
      <c r="I1557" s="898"/>
      <c r="J1557" s="898"/>
      <c r="K1557" s="899"/>
      <c r="L1557" s="899"/>
      <c r="M1557" s="899"/>
      <c r="N1557" s="899"/>
      <c r="O1557" s="899"/>
      <c r="P1557" s="899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96"/>
      <c r="E1558" s="677"/>
      <c r="F1558" s="677"/>
      <c r="G1558" s="677"/>
      <c r="H1558" s="897"/>
      <c r="I1558" s="898"/>
      <c r="J1558" s="898"/>
      <c r="K1558" s="899"/>
      <c r="L1558" s="899"/>
      <c r="M1558" s="899"/>
      <c r="N1558" s="899"/>
      <c r="O1558" s="899"/>
      <c r="P1558" s="899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96"/>
      <c r="E1559" s="677"/>
      <c r="F1559" s="677"/>
      <c r="G1559" s="677"/>
      <c r="H1559" s="897"/>
      <c r="I1559" s="898"/>
      <c r="J1559" s="898"/>
      <c r="K1559" s="899"/>
      <c r="L1559" s="899"/>
      <c r="M1559" s="899"/>
      <c r="N1559" s="899"/>
      <c r="O1559" s="899"/>
      <c r="P1559" s="899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96"/>
      <c r="E1560" s="677"/>
      <c r="F1560" s="677"/>
      <c r="G1560" s="677"/>
      <c r="H1560" s="897"/>
      <c r="I1560" s="898"/>
      <c r="J1560" s="898"/>
      <c r="K1560" s="899"/>
      <c r="L1560" s="899"/>
      <c r="M1560" s="899"/>
      <c r="N1560" s="899"/>
      <c r="O1560" s="899"/>
      <c r="P1560" s="899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96"/>
      <c r="E1561" s="677"/>
      <c r="F1561" s="677"/>
      <c r="G1561" s="677"/>
      <c r="H1561" s="897"/>
      <c r="I1561" s="898"/>
      <c r="J1561" s="898"/>
      <c r="K1561" s="899"/>
      <c r="L1561" s="899"/>
      <c r="M1561" s="899"/>
      <c r="N1561" s="899"/>
      <c r="O1561" s="899"/>
      <c r="P1561" s="899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96"/>
      <c r="E1562" s="677"/>
      <c r="F1562" s="677"/>
      <c r="G1562" s="677"/>
      <c r="H1562" s="897"/>
      <c r="I1562" s="898"/>
      <c r="J1562" s="898"/>
      <c r="K1562" s="899"/>
      <c r="L1562" s="899"/>
      <c r="M1562" s="899"/>
      <c r="N1562" s="899"/>
      <c r="O1562" s="899"/>
      <c r="P1562" s="899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96"/>
      <c r="E1563" s="677"/>
      <c r="F1563" s="677"/>
      <c r="G1563" s="677"/>
      <c r="H1563" s="897"/>
      <c r="I1563" s="898"/>
      <c r="J1563" s="898"/>
      <c r="K1563" s="899"/>
      <c r="L1563" s="899"/>
      <c r="M1563" s="899"/>
      <c r="N1563" s="899"/>
      <c r="O1563" s="899"/>
      <c r="P1563" s="899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96"/>
      <c r="E1564" s="677"/>
      <c r="F1564" s="677"/>
      <c r="G1564" s="677"/>
      <c r="H1564" s="897"/>
      <c r="I1564" s="898"/>
      <c r="J1564" s="898"/>
      <c r="K1564" s="899"/>
      <c r="L1564" s="899"/>
      <c r="M1564" s="899"/>
      <c r="N1564" s="899"/>
      <c r="O1564" s="899"/>
      <c r="P1564" s="899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96"/>
      <c r="E1565" s="677"/>
      <c r="F1565" s="677"/>
      <c r="G1565" s="677"/>
      <c r="H1565" s="897"/>
      <c r="I1565" s="898"/>
      <c r="J1565" s="898"/>
      <c r="K1565" s="899"/>
      <c r="L1565" s="899"/>
      <c r="M1565" s="899"/>
      <c r="N1565" s="899"/>
      <c r="O1565" s="899"/>
      <c r="P1565" s="899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96"/>
      <c r="E1566" s="677"/>
      <c r="F1566" s="677"/>
      <c r="G1566" s="677"/>
      <c r="H1566" s="897"/>
      <c r="I1566" s="898"/>
      <c r="J1566" s="898"/>
      <c r="K1566" s="899"/>
      <c r="L1566" s="899"/>
      <c r="M1566" s="899"/>
      <c r="N1566" s="899"/>
      <c r="O1566" s="899"/>
      <c r="P1566" s="899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96"/>
      <c r="E1567" s="677"/>
      <c r="F1567" s="677"/>
      <c r="G1567" s="677"/>
      <c r="H1567" s="897"/>
      <c r="I1567" s="898"/>
      <c r="J1567" s="898"/>
      <c r="K1567" s="899"/>
      <c r="L1567" s="899"/>
      <c r="M1567" s="899"/>
      <c r="N1567" s="899"/>
      <c r="O1567" s="899"/>
      <c r="P1567" s="899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96"/>
      <c r="E1568" s="677"/>
      <c r="F1568" s="677"/>
      <c r="G1568" s="677"/>
      <c r="H1568" s="897"/>
      <c r="I1568" s="898"/>
      <c r="J1568" s="898"/>
      <c r="K1568" s="899"/>
      <c r="L1568" s="899"/>
      <c r="M1568" s="899"/>
      <c r="N1568" s="899"/>
      <c r="O1568" s="899"/>
      <c r="P1568" s="899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96"/>
      <c r="E1569" s="677"/>
      <c r="F1569" s="677"/>
      <c r="G1569" s="677"/>
      <c r="H1569" s="897"/>
      <c r="I1569" s="898"/>
      <c r="J1569" s="898"/>
      <c r="K1569" s="899"/>
      <c r="L1569" s="899"/>
      <c r="M1569" s="899"/>
      <c r="N1569" s="899"/>
      <c r="O1569" s="899"/>
      <c r="P1569" s="899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96"/>
      <c r="E1570" s="677"/>
      <c r="F1570" s="677"/>
      <c r="G1570" s="677"/>
      <c r="H1570" s="897"/>
      <c r="I1570" s="898"/>
      <c r="J1570" s="898"/>
      <c r="K1570" s="899"/>
      <c r="L1570" s="899"/>
      <c r="M1570" s="899"/>
      <c r="N1570" s="899"/>
      <c r="O1570" s="899"/>
      <c r="P1570" s="899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96"/>
      <c r="E1571" s="677"/>
      <c r="F1571" s="677"/>
      <c r="G1571" s="677"/>
      <c r="H1571" s="897"/>
      <c r="I1571" s="898"/>
      <c r="J1571" s="898"/>
      <c r="K1571" s="899"/>
      <c r="L1571" s="899"/>
      <c r="M1571" s="899"/>
      <c r="N1571" s="899"/>
      <c r="O1571" s="899"/>
      <c r="P1571" s="899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96"/>
      <c r="E1572" s="677"/>
      <c r="F1572" s="677"/>
      <c r="G1572" s="677"/>
      <c r="H1572" s="897"/>
      <c r="I1572" s="898"/>
      <c r="J1572" s="898"/>
      <c r="K1572" s="899"/>
      <c r="L1572" s="899"/>
      <c r="M1572" s="899"/>
      <c r="N1572" s="899"/>
      <c r="O1572" s="899"/>
      <c r="P1572" s="899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96"/>
      <c r="E1573" s="677"/>
      <c r="F1573" s="677"/>
      <c r="G1573" s="677"/>
      <c r="H1573" s="897"/>
      <c r="I1573" s="898"/>
      <c r="J1573" s="898"/>
      <c r="K1573" s="899"/>
      <c r="L1573" s="899"/>
      <c r="M1573" s="899"/>
      <c r="N1573" s="899"/>
      <c r="O1573" s="899"/>
      <c r="P1573" s="899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96"/>
      <c r="E1574" s="677"/>
      <c r="F1574" s="677"/>
      <c r="G1574" s="677"/>
      <c r="H1574" s="897"/>
      <c r="I1574" s="898"/>
      <c r="J1574" s="898"/>
      <c r="K1574" s="899"/>
      <c r="L1574" s="899"/>
      <c r="M1574" s="899"/>
      <c r="N1574" s="899"/>
      <c r="O1574" s="899"/>
      <c r="P1574" s="899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96"/>
      <c r="E1575" s="677"/>
      <c r="F1575" s="677"/>
      <c r="G1575" s="677"/>
      <c r="H1575" s="897"/>
      <c r="I1575" s="898"/>
      <c r="J1575" s="898"/>
      <c r="K1575" s="899"/>
      <c r="L1575" s="899"/>
      <c r="M1575" s="899"/>
      <c r="N1575" s="899"/>
      <c r="O1575" s="899"/>
      <c r="P1575" s="899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96"/>
      <c r="E1576" s="677"/>
      <c r="F1576" s="677"/>
      <c r="G1576" s="677"/>
      <c r="H1576" s="897"/>
      <c r="I1576" s="898"/>
      <c r="J1576" s="898"/>
      <c r="K1576" s="899"/>
      <c r="L1576" s="899"/>
      <c r="M1576" s="899"/>
      <c r="N1576" s="899"/>
      <c r="O1576" s="899"/>
      <c r="P1576" s="899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96"/>
      <c r="E1577" s="677"/>
      <c r="F1577" s="677"/>
      <c r="G1577" s="677"/>
      <c r="H1577" s="897"/>
      <c r="I1577" s="898"/>
      <c r="J1577" s="898"/>
      <c r="K1577" s="899"/>
      <c r="L1577" s="899"/>
      <c r="M1577" s="899"/>
      <c r="N1577" s="899"/>
      <c r="O1577" s="899"/>
      <c r="P1577" s="899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96"/>
      <c r="E1578" s="677"/>
      <c r="F1578" s="677"/>
      <c r="G1578" s="677"/>
      <c r="H1578" s="897"/>
      <c r="I1578" s="898"/>
      <c r="J1578" s="898"/>
      <c r="K1578" s="899"/>
      <c r="L1578" s="899"/>
      <c r="M1578" s="899"/>
      <c r="N1578" s="899"/>
      <c r="O1578" s="899"/>
      <c r="P1578" s="899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96"/>
      <c r="E1579" s="677"/>
      <c r="F1579" s="677"/>
      <c r="G1579" s="677"/>
      <c r="H1579" s="897"/>
      <c r="I1579" s="898"/>
      <c r="J1579" s="898"/>
      <c r="K1579" s="899"/>
      <c r="L1579" s="899"/>
      <c r="M1579" s="899"/>
      <c r="N1579" s="899"/>
      <c r="O1579" s="899"/>
      <c r="P1579" s="899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96"/>
      <c r="E1580" s="677"/>
      <c r="F1580" s="677"/>
      <c r="G1580" s="677"/>
      <c r="H1580" s="897"/>
      <c r="I1580" s="898"/>
      <c r="J1580" s="898"/>
      <c r="K1580" s="899"/>
      <c r="L1580" s="899"/>
      <c r="M1580" s="899"/>
      <c r="N1580" s="899"/>
      <c r="O1580" s="899"/>
      <c r="P1580" s="899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96"/>
      <c r="E1581" s="677"/>
      <c r="F1581" s="677"/>
      <c r="G1581" s="677"/>
      <c r="H1581" s="897"/>
      <c r="I1581" s="898"/>
      <c r="J1581" s="898"/>
      <c r="K1581" s="899"/>
      <c r="L1581" s="899"/>
      <c r="M1581" s="899"/>
      <c r="N1581" s="899"/>
      <c r="O1581" s="899"/>
      <c r="P1581" s="899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96"/>
      <c r="E1582" s="677"/>
      <c r="F1582" s="677"/>
      <c r="G1582" s="677"/>
      <c r="H1582" s="897"/>
      <c r="I1582" s="898"/>
      <c r="J1582" s="898"/>
      <c r="K1582" s="899"/>
      <c r="L1582" s="899"/>
      <c r="M1582" s="899"/>
      <c r="N1582" s="899"/>
      <c r="O1582" s="899"/>
      <c r="P1582" s="899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96"/>
      <c r="E1583" s="677"/>
      <c r="F1583" s="677"/>
      <c r="G1583" s="677"/>
      <c r="H1583" s="897"/>
      <c r="I1583" s="898"/>
      <c r="J1583" s="898"/>
      <c r="K1583" s="899"/>
      <c r="L1583" s="899"/>
      <c r="M1583" s="899"/>
      <c r="N1583" s="899"/>
      <c r="O1583" s="899"/>
      <c r="P1583" s="899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96"/>
      <c r="E1584" s="677"/>
      <c r="F1584" s="677"/>
      <c r="G1584" s="677"/>
      <c r="H1584" s="897"/>
      <c r="I1584" s="898"/>
      <c r="J1584" s="898"/>
      <c r="K1584" s="899"/>
      <c r="L1584" s="899"/>
      <c r="M1584" s="899"/>
      <c r="N1584" s="899"/>
      <c r="O1584" s="899"/>
      <c r="P1584" s="899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96"/>
      <c r="E1585" s="677"/>
      <c r="F1585" s="677"/>
      <c r="G1585" s="677"/>
      <c r="H1585" s="897"/>
      <c r="I1585" s="898"/>
      <c r="J1585" s="898"/>
      <c r="K1585" s="899"/>
      <c r="L1585" s="899"/>
      <c r="M1585" s="899"/>
      <c r="N1585" s="899"/>
      <c r="O1585" s="899"/>
      <c r="P1585" s="899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96"/>
      <c r="E1586" s="677"/>
      <c r="F1586" s="677"/>
      <c r="G1586" s="677"/>
      <c r="H1586" s="897"/>
      <c r="I1586" s="898"/>
      <c r="J1586" s="898"/>
      <c r="K1586" s="899"/>
      <c r="L1586" s="899"/>
      <c r="M1586" s="899"/>
      <c r="N1586" s="899"/>
      <c r="O1586" s="899"/>
      <c r="P1586" s="899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96"/>
      <c r="E1587" s="677"/>
      <c r="F1587" s="677"/>
      <c r="G1587" s="677"/>
      <c r="H1587" s="897"/>
      <c r="I1587" s="898"/>
      <c r="J1587" s="898"/>
      <c r="K1587" s="899"/>
      <c r="L1587" s="899"/>
      <c r="M1587" s="899"/>
      <c r="N1587" s="899"/>
      <c r="O1587" s="899"/>
      <c r="P1587" s="899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96"/>
      <c r="E1588" s="677"/>
      <c r="F1588" s="677"/>
      <c r="G1588" s="677"/>
      <c r="H1588" s="897"/>
      <c r="I1588" s="898"/>
      <c r="J1588" s="898"/>
      <c r="K1588" s="899"/>
      <c r="L1588" s="899"/>
      <c r="M1588" s="899"/>
      <c r="N1588" s="899"/>
      <c r="O1588" s="899"/>
      <c r="P1588" s="899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96"/>
      <c r="E1589" s="677"/>
      <c r="F1589" s="677"/>
      <c r="G1589" s="677"/>
      <c r="H1589" s="897"/>
      <c r="I1589" s="898"/>
      <c r="J1589" s="898"/>
      <c r="K1589" s="899"/>
      <c r="L1589" s="899"/>
      <c r="M1589" s="899"/>
      <c r="N1589" s="899"/>
      <c r="O1589" s="899"/>
      <c r="P1589" s="899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96"/>
      <c r="E1590" s="677"/>
      <c r="F1590" s="677"/>
      <c r="G1590" s="677"/>
      <c r="H1590" s="897"/>
      <c r="I1590" s="898"/>
      <c r="J1590" s="898"/>
      <c r="K1590" s="899"/>
      <c r="L1590" s="899"/>
      <c r="M1590" s="899"/>
      <c r="N1590" s="899"/>
      <c r="O1590" s="899"/>
      <c r="P1590" s="899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96"/>
      <c r="E1591" s="677"/>
      <c r="F1591" s="677"/>
      <c r="G1591" s="677"/>
      <c r="H1591" s="897"/>
      <c r="I1591" s="898"/>
      <c r="J1591" s="898"/>
      <c r="K1591" s="899"/>
      <c r="L1591" s="899"/>
      <c r="M1591" s="899"/>
      <c r="N1591" s="899"/>
      <c r="O1591" s="899"/>
      <c r="P1591" s="899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96"/>
      <c r="E1592" s="677"/>
      <c r="F1592" s="677"/>
      <c r="G1592" s="677"/>
      <c r="H1592" s="897"/>
      <c r="I1592" s="898"/>
      <c r="J1592" s="898"/>
      <c r="K1592" s="899"/>
      <c r="L1592" s="899"/>
      <c r="M1592" s="899"/>
      <c r="N1592" s="899"/>
      <c r="O1592" s="899"/>
      <c r="P1592" s="899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96"/>
      <c r="E1593" s="677"/>
      <c r="F1593" s="677"/>
      <c r="G1593" s="677"/>
      <c r="H1593" s="897"/>
      <c r="I1593" s="898"/>
      <c r="J1593" s="898"/>
      <c r="K1593" s="899"/>
      <c r="L1593" s="899"/>
      <c r="M1593" s="899"/>
      <c r="N1593" s="899"/>
      <c r="O1593" s="899"/>
      <c r="P1593" s="899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96"/>
      <c r="E1594" s="677"/>
      <c r="F1594" s="677"/>
      <c r="G1594" s="677"/>
      <c r="H1594" s="897"/>
      <c r="I1594" s="898"/>
      <c r="J1594" s="898"/>
      <c r="K1594" s="899"/>
      <c r="L1594" s="899"/>
      <c r="M1594" s="899"/>
      <c r="N1594" s="899"/>
      <c r="O1594" s="899"/>
      <c r="P1594" s="899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96"/>
      <c r="E1595" s="677"/>
      <c r="F1595" s="677"/>
      <c r="G1595" s="677"/>
      <c r="H1595" s="897"/>
      <c r="I1595" s="898"/>
      <c r="J1595" s="898"/>
      <c r="K1595" s="899"/>
      <c r="L1595" s="899"/>
      <c r="M1595" s="899"/>
      <c r="N1595" s="899"/>
      <c r="O1595" s="899"/>
      <c r="P1595" s="899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96"/>
      <c r="E1596" s="677"/>
      <c r="F1596" s="677"/>
      <c r="G1596" s="677"/>
      <c r="H1596" s="897"/>
      <c r="I1596" s="898"/>
      <c r="J1596" s="898"/>
      <c r="K1596" s="899"/>
      <c r="L1596" s="899"/>
      <c r="M1596" s="899"/>
      <c r="N1596" s="899"/>
      <c r="O1596" s="899"/>
      <c r="P1596" s="899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96"/>
      <c r="E1597" s="677"/>
      <c r="F1597" s="677"/>
      <c r="G1597" s="677"/>
      <c r="H1597" s="897"/>
      <c r="I1597" s="898"/>
      <c r="J1597" s="898"/>
      <c r="K1597" s="899"/>
      <c r="L1597" s="899"/>
      <c r="M1597" s="899"/>
      <c r="N1597" s="899"/>
      <c r="O1597" s="899"/>
      <c r="P1597" s="899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96"/>
      <c r="E1598" s="677"/>
      <c r="F1598" s="677"/>
      <c r="G1598" s="677"/>
      <c r="H1598" s="897"/>
      <c r="I1598" s="898"/>
      <c r="J1598" s="898"/>
      <c r="K1598" s="899"/>
      <c r="L1598" s="899"/>
      <c r="M1598" s="899"/>
      <c r="N1598" s="899"/>
      <c r="O1598" s="899"/>
      <c r="P1598" s="899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96"/>
      <c r="E1599" s="677"/>
      <c r="F1599" s="677"/>
      <c r="G1599" s="677"/>
      <c r="H1599" s="897"/>
      <c r="I1599" s="898"/>
      <c r="J1599" s="898"/>
      <c r="K1599" s="899"/>
      <c r="L1599" s="899"/>
      <c r="M1599" s="899"/>
      <c r="N1599" s="899"/>
      <c r="O1599" s="899"/>
      <c r="P1599" s="899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96"/>
      <c r="E1600" s="677"/>
      <c r="F1600" s="677"/>
      <c r="G1600" s="677"/>
      <c r="H1600" s="897"/>
      <c r="I1600" s="898"/>
      <c r="J1600" s="898"/>
      <c r="K1600" s="899"/>
      <c r="L1600" s="899"/>
      <c r="M1600" s="899"/>
      <c r="N1600" s="899"/>
      <c r="O1600" s="899"/>
      <c r="P1600" s="899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96"/>
      <c r="E1601" s="677"/>
      <c r="F1601" s="677"/>
      <c r="G1601" s="677"/>
      <c r="H1601" s="897"/>
      <c r="I1601" s="898"/>
      <c r="J1601" s="898"/>
      <c r="K1601" s="899"/>
      <c r="L1601" s="899"/>
      <c r="M1601" s="899"/>
      <c r="N1601" s="899"/>
      <c r="O1601" s="899"/>
      <c r="P1601" s="899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96"/>
      <c r="E1602" s="677"/>
      <c r="F1602" s="677"/>
      <c r="G1602" s="677"/>
      <c r="H1602" s="897"/>
      <c r="I1602" s="898"/>
      <c r="J1602" s="898"/>
      <c r="K1602" s="899"/>
      <c r="L1602" s="899"/>
      <c r="M1602" s="899"/>
      <c r="N1602" s="899"/>
      <c r="O1602" s="899"/>
      <c r="P1602" s="899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96"/>
      <c r="E1603" s="677"/>
      <c r="F1603" s="677"/>
      <c r="G1603" s="677"/>
      <c r="H1603" s="897"/>
      <c r="I1603" s="898"/>
      <c r="J1603" s="898"/>
      <c r="K1603" s="899"/>
      <c r="L1603" s="899"/>
      <c r="M1603" s="899"/>
      <c r="N1603" s="899"/>
      <c r="O1603" s="899"/>
      <c r="P1603" s="899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96"/>
      <c r="E1604" s="677"/>
      <c r="F1604" s="677"/>
      <c r="G1604" s="677"/>
      <c r="H1604" s="897"/>
      <c r="I1604" s="898"/>
      <c r="J1604" s="898"/>
      <c r="K1604" s="899"/>
      <c r="L1604" s="899"/>
      <c r="M1604" s="899"/>
      <c r="N1604" s="899"/>
      <c r="O1604" s="899"/>
      <c r="P1604" s="899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96"/>
      <c r="E1605" s="677"/>
      <c r="F1605" s="677"/>
      <c r="G1605" s="677"/>
      <c r="H1605" s="897"/>
      <c r="I1605" s="898"/>
      <c r="J1605" s="898"/>
      <c r="K1605" s="899"/>
      <c r="L1605" s="899"/>
      <c r="M1605" s="899"/>
      <c r="N1605" s="899"/>
      <c r="O1605" s="899"/>
      <c r="P1605" s="899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96"/>
      <c r="E1606" s="677"/>
      <c r="F1606" s="677"/>
      <c r="G1606" s="677"/>
      <c r="H1606" s="897"/>
      <c r="I1606" s="898"/>
      <c r="J1606" s="898"/>
      <c r="K1606" s="899"/>
      <c r="L1606" s="899"/>
      <c r="M1606" s="899"/>
      <c r="N1606" s="899"/>
      <c r="O1606" s="899"/>
      <c r="P1606" s="899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96"/>
      <c r="E1607" s="677"/>
      <c r="F1607" s="677"/>
      <c r="G1607" s="677"/>
      <c r="H1607" s="897"/>
      <c r="I1607" s="898"/>
      <c r="J1607" s="898"/>
      <c r="K1607" s="899"/>
      <c r="L1607" s="899"/>
      <c r="M1607" s="899"/>
      <c r="N1607" s="899"/>
      <c r="O1607" s="899"/>
      <c r="P1607" s="899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96"/>
      <c r="E1608" s="677"/>
      <c r="F1608" s="677"/>
      <c r="G1608" s="677"/>
      <c r="H1608" s="897"/>
      <c r="I1608" s="898"/>
      <c r="J1608" s="898"/>
      <c r="K1608" s="899"/>
      <c r="L1608" s="899"/>
      <c r="M1608" s="899"/>
      <c r="N1608" s="899"/>
      <c r="O1608" s="899"/>
      <c r="P1608" s="899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96"/>
      <c r="E1609" s="677"/>
      <c r="F1609" s="677"/>
      <c r="G1609" s="677"/>
      <c r="H1609" s="897"/>
      <c r="I1609" s="898"/>
      <c r="J1609" s="898"/>
      <c r="K1609" s="899"/>
      <c r="L1609" s="899"/>
      <c r="M1609" s="899"/>
      <c r="N1609" s="899"/>
      <c r="O1609" s="899"/>
      <c r="P1609" s="899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96"/>
      <c r="E1610" s="677"/>
      <c r="F1610" s="677"/>
      <c r="G1610" s="677"/>
      <c r="H1610" s="897"/>
      <c r="I1610" s="898"/>
      <c r="J1610" s="898"/>
      <c r="K1610" s="899"/>
      <c r="L1610" s="899"/>
      <c r="M1610" s="899"/>
      <c r="N1610" s="899"/>
      <c r="O1610" s="899"/>
      <c r="P1610" s="899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96"/>
      <c r="E1611" s="677"/>
      <c r="F1611" s="677"/>
      <c r="G1611" s="677"/>
      <c r="H1611" s="897"/>
      <c r="I1611" s="898"/>
      <c r="J1611" s="898"/>
      <c r="K1611" s="899"/>
      <c r="L1611" s="899"/>
      <c r="M1611" s="899"/>
      <c r="N1611" s="899"/>
      <c r="O1611" s="899"/>
      <c r="P1611" s="899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96"/>
      <c r="E1612" s="677"/>
      <c r="F1612" s="677"/>
      <c r="G1612" s="677"/>
      <c r="H1612" s="897"/>
      <c r="I1612" s="898"/>
      <c r="J1612" s="898"/>
      <c r="K1612" s="899"/>
      <c r="L1612" s="899"/>
      <c r="M1612" s="899"/>
      <c r="N1612" s="899"/>
      <c r="O1612" s="899"/>
      <c r="P1612" s="899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96"/>
      <c r="E1613" s="677"/>
      <c r="F1613" s="677"/>
      <c r="G1613" s="677"/>
      <c r="H1613" s="897"/>
      <c r="I1613" s="898"/>
      <c r="J1613" s="898"/>
      <c r="K1613" s="899"/>
      <c r="L1613" s="899"/>
      <c r="M1613" s="899"/>
      <c r="N1613" s="899"/>
      <c r="O1613" s="899"/>
      <c r="P1613" s="899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96"/>
      <c r="E1614" s="677"/>
      <c r="F1614" s="677"/>
      <c r="G1614" s="677"/>
      <c r="H1614" s="897"/>
      <c r="I1614" s="898"/>
      <c r="J1614" s="898"/>
      <c r="K1614" s="899"/>
      <c r="L1614" s="899"/>
      <c r="M1614" s="899"/>
      <c r="N1614" s="899"/>
      <c r="O1614" s="899"/>
      <c r="P1614" s="899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96"/>
      <c r="E1615" s="677"/>
      <c r="F1615" s="677"/>
      <c r="G1615" s="677"/>
      <c r="H1615" s="897"/>
      <c r="I1615" s="898"/>
      <c r="J1615" s="898"/>
      <c r="K1615" s="899"/>
      <c r="L1615" s="899"/>
      <c r="M1615" s="899"/>
      <c r="N1615" s="899"/>
      <c r="O1615" s="899"/>
      <c r="P1615" s="899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96"/>
      <c r="E1616" s="677"/>
      <c r="F1616" s="677"/>
      <c r="G1616" s="677"/>
      <c r="H1616" s="897"/>
      <c r="I1616" s="898"/>
      <c r="J1616" s="898"/>
      <c r="K1616" s="899"/>
      <c r="L1616" s="899"/>
      <c r="M1616" s="899"/>
      <c r="N1616" s="899"/>
      <c r="O1616" s="899"/>
      <c r="P1616" s="899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96"/>
      <c r="E1617" s="677"/>
      <c r="F1617" s="677"/>
      <c r="G1617" s="677"/>
      <c r="H1617" s="897"/>
      <c r="I1617" s="898"/>
      <c r="J1617" s="898"/>
      <c r="K1617" s="899"/>
      <c r="L1617" s="899"/>
      <c r="M1617" s="899"/>
      <c r="N1617" s="899"/>
      <c r="O1617" s="899"/>
      <c r="P1617" s="899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96"/>
      <c r="E1618" s="677"/>
      <c r="F1618" s="677"/>
      <c r="G1618" s="677"/>
      <c r="H1618" s="897"/>
      <c r="I1618" s="898"/>
      <c r="J1618" s="898"/>
      <c r="K1618" s="899"/>
      <c r="L1618" s="899"/>
      <c r="M1618" s="899"/>
      <c r="N1618" s="899"/>
      <c r="O1618" s="899"/>
      <c r="P1618" s="899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96"/>
      <c r="E1619" s="677"/>
      <c r="F1619" s="677"/>
      <c r="G1619" s="677"/>
      <c r="H1619" s="897"/>
      <c r="I1619" s="898"/>
      <c r="J1619" s="898"/>
      <c r="K1619" s="899"/>
      <c r="L1619" s="899"/>
      <c r="M1619" s="899"/>
      <c r="N1619" s="899"/>
      <c r="O1619" s="899"/>
      <c r="P1619" s="899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96"/>
      <c r="E1620" s="677"/>
      <c r="F1620" s="677"/>
      <c r="G1620" s="677"/>
      <c r="H1620" s="897"/>
      <c r="I1620" s="898"/>
      <c r="J1620" s="898"/>
      <c r="K1620" s="899"/>
      <c r="L1620" s="899"/>
      <c r="M1620" s="899"/>
      <c r="N1620" s="899"/>
      <c r="O1620" s="899"/>
      <c r="P1620" s="899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96"/>
      <c r="E1621" s="677"/>
      <c r="F1621" s="677"/>
      <c r="G1621" s="677"/>
      <c r="H1621" s="897"/>
      <c r="I1621" s="898"/>
      <c r="J1621" s="898"/>
      <c r="K1621" s="899"/>
      <c r="L1621" s="899"/>
      <c r="M1621" s="899"/>
      <c r="N1621" s="899"/>
      <c r="O1621" s="899"/>
      <c r="P1621" s="899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96"/>
      <c r="E1622" s="677"/>
      <c r="F1622" s="677"/>
      <c r="G1622" s="677"/>
      <c r="H1622" s="897"/>
      <c r="I1622" s="898"/>
      <c r="J1622" s="898"/>
      <c r="K1622" s="899"/>
      <c r="L1622" s="899"/>
      <c r="M1622" s="899"/>
      <c r="N1622" s="899"/>
      <c r="O1622" s="899"/>
      <c r="P1622" s="899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96"/>
      <c r="E1623" s="677"/>
      <c r="F1623" s="677"/>
      <c r="G1623" s="677"/>
      <c r="H1623" s="897"/>
      <c r="I1623" s="898"/>
      <c r="J1623" s="898"/>
      <c r="K1623" s="899"/>
      <c r="L1623" s="899"/>
      <c r="M1623" s="899"/>
      <c r="N1623" s="899"/>
      <c r="O1623" s="899"/>
      <c r="P1623" s="899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96"/>
      <c r="E1624" s="677"/>
      <c r="F1624" s="677"/>
      <c r="G1624" s="677"/>
      <c r="H1624" s="897"/>
      <c r="I1624" s="898"/>
      <c r="J1624" s="898"/>
      <c r="K1624" s="899"/>
      <c r="L1624" s="899"/>
      <c r="M1624" s="899"/>
      <c r="N1624" s="899"/>
      <c r="O1624" s="899"/>
      <c r="P1624" s="899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96"/>
      <c r="E1625" s="677"/>
      <c r="F1625" s="677"/>
      <c r="G1625" s="677"/>
      <c r="H1625" s="897"/>
      <c r="I1625" s="898"/>
      <c r="J1625" s="898"/>
      <c r="K1625" s="899"/>
      <c r="L1625" s="899"/>
      <c r="M1625" s="899"/>
      <c r="N1625" s="899"/>
      <c r="O1625" s="899"/>
      <c r="P1625" s="899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96"/>
      <c r="E1626" s="677"/>
      <c r="F1626" s="677"/>
      <c r="G1626" s="677"/>
      <c r="H1626" s="897"/>
      <c r="I1626" s="898"/>
      <c r="J1626" s="898"/>
      <c r="K1626" s="899"/>
      <c r="L1626" s="899"/>
      <c r="M1626" s="899"/>
      <c r="N1626" s="899"/>
      <c r="O1626" s="899"/>
      <c r="P1626" s="899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96"/>
      <c r="E1627" s="677"/>
      <c r="F1627" s="677"/>
      <c r="G1627" s="677"/>
      <c r="H1627" s="897"/>
      <c r="I1627" s="898"/>
      <c r="J1627" s="898"/>
      <c r="K1627" s="899"/>
      <c r="L1627" s="899"/>
      <c r="M1627" s="899"/>
      <c r="N1627" s="899"/>
      <c r="O1627" s="899"/>
      <c r="P1627" s="899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96"/>
      <c r="E1628" s="677"/>
      <c r="F1628" s="677"/>
      <c r="G1628" s="677"/>
      <c r="H1628" s="897"/>
      <c r="I1628" s="898"/>
      <c r="J1628" s="898"/>
      <c r="K1628" s="899"/>
      <c r="L1628" s="899"/>
      <c r="M1628" s="899"/>
      <c r="N1628" s="899"/>
      <c r="O1628" s="899"/>
      <c r="P1628" s="899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96"/>
      <c r="E1629" s="677"/>
      <c r="F1629" s="677"/>
      <c r="G1629" s="677"/>
      <c r="H1629" s="897"/>
      <c r="I1629" s="898"/>
      <c r="J1629" s="898"/>
      <c r="K1629" s="899"/>
      <c r="L1629" s="899"/>
      <c r="M1629" s="899"/>
      <c r="N1629" s="899"/>
      <c r="O1629" s="899"/>
      <c r="P1629" s="899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96"/>
      <c r="E1630" s="677"/>
      <c r="F1630" s="677"/>
      <c r="G1630" s="677"/>
      <c r="H1630" s="897"/>
      <c r="I1630" s="898"/>
      <c r="J1630" s="898"/>
      <c r="K1630" s="899"/>
      <c r="L1630" s="899"/>
      <c r="M1630" s="899"/>
      <c r="N1630" s="899"/>
      <c r="O1630" s="899"/>
      <c r="P1630" s="899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96"/>
      <c r="E1631" s="677"/>
      <c r="F1631" s="677"/>
      <c r="G1631" s="677"/>
      <c r="H1631" s="897"/>
      <c r="I1631" s="898"/>
      <c r="J1631" s="898"/>
      <c r="K1631" s="899"/>
      <c r="L1631" s="899"/>
      <c r="M1631" s="899"/>
      <c r="N1631" s="899"/>
      <c r="O1631" s="899"/>
      <c r="P1631" s="899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96"/>
      <c r="E1632" s="677"/>
      <c r="F1632" s="677"/>
      <c r="G1632" s="677"/>
      <c r="H1632" s="897"/>
      <c r="I1632" s="898"/>
      <c r="J1632" s="898"/>
      <c r="K1632" s="899"/>
      <c r="L1632" s="899"/>
      <c r="M1632" s="899"/>
      <c r="N1632" s="899"/>
      <c r="O1632" s="899"/>
      <c r="P1632" s="899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96"/>
      <c r="E1633" s="677"/>
      <c r="F1633" s="677"/>
      <c r="G1633" s="677"/>
      <c r="H1633" s="897"/>
      <c r="I1633" s="898"/>
      <c r="J1633" s="898"/>
      <c r="K1633" s="899"/>
      <c r="L1633" s="899"/>
      <c r="M1633" s="899"/>
      <c r="N1633" s="899"/>
      <c r="O1633" s="899"/>
      <c r="P1633" s="899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96"/>
      <c r="E1634" s="677"/>
      <c r="F1634" s="677"/>
      <c r="G1634" s="677"/>
      <c r="H1634" s="897"/>
      <c r="I1634" s="898"/>
      <c r="J1634" s="898"/>
      <c r="K1634" s="899"/>
      <c r="L1634" s="899"/>
      <c r="M1634" s="899"/>
      <c r="N1634" s="899"/>
      <c r="O1634" s="899"/>
      <c r="P1634" s="899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96"/>
      <c r="E1635" s="677"/>
      <c r="F1635" s="677"/>
      <c r="G1635" s="677"/>
      <c r="H1635" s="897"/>
      <c r="I1635" s="898"/>
      <c r="J1635" s="898"/>
      <c r="K1635" s="899"/>
      <c r="L1635" s="899"/>
      <c r="M1635" s="899"/>
      <c r="N1635" s="899"/>
      <c r="O1635" s="899"/>
      <c r="P1635" s="899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96"/>
      <c r="E1636" s="677"/>
      <c r="F1636" s="677"/>
      <c r="G1636" s="677"/>
      <c r="H1636" s="897"/>
      <c r="I1636" s="898"/>
      <c r="J1636" s="898"/>
      <c r="K1636" s="899"/>
      <c r="L1636" s="899"/>
      <c r="M1636" s="899"/>
      <c r="N1636" s="899"/>
      <c r="O1636" s="899"/>
      <c r="P1636" s="899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96"/>
      <c r="E1637" s="677"/>
      <c r="F1637" s="677"/>
      <c r="G1637" s="677"/>
      <c r="H1637" s="897"/>
      <c r="I1637" s="898"/>
      <c r="J1637" s="898"/>
      <c r="K1637" s="899"/>
      <c r="L1637" s="899"/>
      <c r="M1637" s="899"/>
      <c r="N1637" s="899"/>
      <c r="O1637" s="899"/>
      <c r="P1637" s="899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96"/>
      <c r="E1638" s="677"/>
      <c r="F1638" s="677"/>
      <c r="G1638" s="677"/>
      <c r="H1638" s="897"/>
      <c r="I1638" s="898"/>
      <c r="J1638" s="898"/>
      <c r="K1638" s="899"/>
      <c r="L1638" s="899"/>
      <c r="M1638" s="899"/>
      <c r="N1638" s="899"/>
      <c r="O1638" s="899"/>
      <c r="P1638" s="899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96"/>
      <c r="E1639" s="677"/>
      <c r="F1639" s="677"/>
      <c r="G1639" s="677"/>
      <c r="H1639" s="897"/>
      <c r="I1639" s="898"/>
      <c r="J1639" s="898"/>
      <c r="K1639" s="899"/>
      <c r="L1639" s="899"/>
      <c r="M1639" s="899"/>
      <c r="N1639" s="899"/>
      <c r="O1639" s="899"/>
      <c r="P1639" s="899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96"/>
      <c r="E1640" s="677"/>
      <c r="F1640" s="677"/>
      <c r="G1640" s="677"/>
      <c r="H1640" s="897"/>
      <c r="I1640" s="898"/>
      <c r="J1640" s="898"/>
      <c r="K1640" s="899"/>
      <c r="L1640" s="899"/>
      <c r="M1640" s="899"/>
      <c r="N1640" s="899"/>
      <c r="O1640" s="899"/>
      <c r="P1640" s="899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96"/>
      <c r="E1641" s="677"/>
      <c r="F1641" s="677"/>
      <c r="G1641" s="677"/>
      <c r="H1641" s="897"/>
      <c r="I1641" s="898"/>
      <c r="J1641" s="898"/>
      <c r="K1641" s="899"/>
      <c r="L1641" s="899"/>
      <c r="M1641" s="899"/>
      <c r="N1641" s="899"/>
      <c r="O1641" s="899"/>
      <c r="P1641" s="899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96"/>
      <c r="E1642" s="677"/>
      <c r="F1642" s="677"/>
      <c r="G1642" s="677"/>
      <c r="H1642" s="897"/>
      <c r="I1642" s="898"/>
      <c r="J1642" s="898"/>
      <c r="K1642" s="899"/>
      <c r="L1642" s="899"/>
      <c r="M1642" s="899"/>
      <c r="N1642" s="899"/>
      <c r="O1642" s="899"/>
      <c r="P1642" s="899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96"/>
      <c r="E1643" s="677"/>
      <c r="F1643" s="677"/>
      <c r="G1643" s="677"/>
      <c r="H1643" s="897"/>
      <c r="I1643" s="898"/>
      <c r="J1643" s="898"/>
      <c r="K1643" s="899"/>
      <c r="L1643" s="899"/>
      <c r="M1643" s="899"/>
      <c r="N1643" s="899"/>
      <c r="O1643" s="899"/>
      <c r="P1643" s="899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96"/>
      <c r="E1644" s="677"/>
      <c r="F1644" s="677"/>
      <c r="G1644" s="677"/>
      <c r="H1644" s="897"/>
      <c r="I1644" s="898"/>
      <c r="J1644" s="898"/>
      <c r="K1644" s="899"/>
      <c r="L1644" s="899"/>
      <c r="M1644" s="899"/>
      <c r="N1644" s="899"/>
      <c r="O1644" s="899"/>
      <c r="P1644" s="899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96"/>
      <c r="E1645" s="677"/>
      <c r="F1645" s="677"/>
      <c r="G1645" s="677"/>
      <c r="H1645" s="897"/>
      <c r="I1645" s="898"/>
      <c r="J1645" s="898"/>
      <c r="K1645" s="899"/>
      <c r="L1645" s="899"/>
      <c r="M1645" s="899"/>
      <c r="N1645" s="899"/>
      <c r="O1645" s="899"/>
      <c r="P1645" s="899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96"/>
      <c r="E1646" s="677"/>
      <c r="F1646" s="677"/>
      <c r="G1646" s="677"/>
      <c r="H1646" s="897"/>
      <c r="I1646" s="898"/>
      <c r="J1646" s="898"/>
      <c r="K1646" s="899"/>
      <c r="L1646" s="899"/>
      <c r="M1646" s="899"/>
      <c r="N1646" s="899"/>
      <c r="O1646" s="899"/>
      <c r="P1646" s="899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96"/>
      <c r="E1647" s="677"/>
      <c r="F1647" s="677"/>
      <c r="G1647" s="677"/>
      <c r="H1647" s="897"/>
      <c r="I1647" s="898"/>
      <c r="J1647" s="898"/>
      <c r="K1647" s="899"/>
      <c r="L1647" s="899"/>
      <c r="M1647" s="899"/>
      <c r="N1647" s="899"/>
      <c r="O1647" s="899"/>
      <c r="P1647" s="899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96"/>
      <c r="E1648" s="677"/>
      <c r="F1648" s="677"/>
      <c r="G1648" s="677"/>
      <c r="H1648" s="897"/>
      <c r="I1648" s="898"/>
      <c r="J1648" s="898"/>
      <c r="K1648" s="899"/>
      <c r="L1648" s="899"/>
      <c r="M1648" s="899"/>
      <c r="N1648" s="899"/>
      <c r="O1648" s="899"/>
      <c r="P1648" s="899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96"/>
      <c r="E1649" s="677"/>
      <c r="F1649" s="677"/>
      <c r="G1649" s="677"/>
      <c r="H1649" s="897"/>
      <c r="I1649" s="898"/>
      <c r="J1649" s="898"/>
      <c r="K1649" s="899"/>
      <c r="L1649" s="899"/>
      <c r="M1649" s="899"/>
      <c r="N1649" s="899"/>
      <c r="O1649" s="899"/>
      <c r="P1649" s="899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96"/>
      <c r="E1650" s="677"/>
      <c r="F1650" s="677"/>
      <c r="G1650" s="677"/>
      <c r="H1650" s="897"/>
      <c r="I1650" s="898"/>
      <c r="J1650" s="898"/>
      <c r="K1650" s="899"/>
      <c r="L1650" s="899"/>
      <c r="M1650" s="899"/>
      <c r="N1650" s="899"/>
      <c r="O1650" s="899"/>
      <c r="P1650" s="899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96"/>
      <c r="E1651" s="677"/>
      <c r="F1651" s="677"/>
      <c r="G1651" s="677"/>
      <c r="H1651" s="897"/>
      <c r="I1651" s="898"/>
      <c r="J1651" s="898"/>
      <c r="K1651" s="899"/>
      <c r="L1651" s="899"/>
      <c r="M1651" s="899"/>
      <c r="N1651" s="899"/>
      <c r="O1651" s="899"/>
      <c r="P1651" s="899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96"/>
      <c r="E1652" s="677"/>
      <c r="F1652" s="677"/>
      <c r="G1652" s="677"/>
      <c r="H1652" s="897"/>
      <c r="I1652" s="898"/>
      <c r="J1652" s="898"/>
      <c r="K1652" s="899"/>
      <c r="L1652" s="899"/>
      <c r="M1652" s="899"/>
      <c r="N1652" s="899"/>
      <c r="O1652" s="899"/>
      <c r="P1652" s="899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96"/>
      <c r="E1653" s="677"/>
      <c r="F1653" s="677"/>
      <c r="G1653" s="677"/>
      <c r="H1653" s="897"/>
      <c r="I1653" s="898"/>
      <c r="J1653" s="898"/>
      <c r="K1653" s="899"/>
      <c r="L1653" s="899"/>
      <c r="M1653" s="899"/>
      <c r="N1653" s="899"/>
      <c r="O1653" s="899"/>
      <c r="P1653" s="899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96"/>
      <c r="E1654" s="677"/>
      <c r="F1654" s="677"/>
      <c r="G1654" s="677"/>
      <c r="H1654" s="897"/>
      <c r="I1654" s="898"/>
      <c r="J1654" s="898"/>
      <c r="K1654" s="899"/>
      <c r="L1654" s="899"/>
      <c r="M1654" s="899"/>
      <c r="N1654" s="899"/>
      <c r="O1654" s="899"/>
      <c r="P1654" s="899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96"/>
      <c r="E1655" s="677"/>
      <c r="F1655" s="677"/>
      <c r="G1655" s="677"/>
      <c r="H1655" s="897"/>
      <c r="I1655" s="898"/>
      <c r="J1655" s="898"/>
      <c r="K1655" s="899"/>
      <c r="L1655" s="899"/>
      <c r="M1655" s="899"/>
      <c r="N1655" s="899"/>
      <c r="O1655" s="899"/>
      <c r="P1655" s="899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96"/>
      <c r="E1656" s="677"/>
      <c r="F1656" s="677"/>
      <c r="G1656" s="677"/>
      <c r="H1656" s="897"/>
      <c r="I1656" s="898"/>
      <c r="J1656" s="898"/>
      <c r="K1656" s="899"/>
      <c r="L1656" s="899"/>
      <c r="M1656" s="899"/>
      <c r="N1656" s="899"/>
      <c r="O1656" s="899"/>
      <c r="P1656" s="899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96"/>
      <c r="E1657" s="677"/>
      <c r="F1657" s="677"/>
      <c r="G1657" s="677"/>
      <c r="H1657" s="897"/>
      <c r="I1657" s="898"/>
      <c r="J1657" s="898"/>
      <c r="K1657" s="899"/>
      <c r="L1657" s="899"/>
      <c r="M1657" s="899"/>
      <c r="N1657" s="899"/>
      <c r="O1657" s="899"/>
      <c r="P1657" s="899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96"/>
      <c r="E1658" s="677"/>
      <c r="F1658" s="677"/>
      <c r="G1658" s="677"/>
      <c r="H1658" s="897"/>
      <c r="I1658" s="898"/>
      <c r="J1658" s="898"/>
      <c r="K1658" s="899"/>
      <c r="L1658" s="899"/>
      <c r="M1658" s="899"/>
      <c r="N1658" s="899"/>
      <c r="O1658" s="899"/>
      <c r="P1658" s="899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96"/>
      <c r="E1659" s="677"/>
      <c r="F1659" s="677"/>
      <c r="G1659" s="677"/>
      <c r="H1659" s="897"/>
      <c r="I1659" s="898"/>
      <c r="J1659" s="898"/>
      <c r="K1659" s="899"/>
      <c r="L1659" s="899"/>
      <c r="M1659" s="899"/>
      <c r="N1659" s="899"/>
      <c r="O1659" s="899"/>
      <c r="P1659" s="899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96"/>
      <c r="E1660" s="677"/>
      <c r="F1660" s="677"/>
      <c r="G1660" s="677"/>
      <c r="H1660" s="897"/>
      <c r="I1660" s="898"/>
      <c r="J1660" s="898"/>
      <c r="K1660" s="899"/>
      <c r="L1660" s="899"/>
      <c r="M1660" s="899"/>
      <c r="N1660" s="899"/>
      <c r="O1660" s="899"/>
      <c r="P1660" s="899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96"/>
      <c r="E1661" s="677"/>
      <c r="F1661" s="677"/>
      <c r="G1661" s="677"/>
      <c r="H1661" s="897"/>
      <c r="I1661" s="898"/>
      <c r="J1661" s="898"/>
      <c r="K1661" s="899"/>
      <c r="L1661" s="899"/>
      <c r="M1661" s="899"/>
      <c r="N1661" s="899"/>
      <c r="O1661" s="899"/>
      <c r="P1661" s="899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96"/>
      <c r="E1662" s="677"/>
      <c r="F1662" s="677"/>
      <c r="G1662" s="677"/>
      <c r="H1662" s="897"/>
      <c r="I1662" s="898"/>
      <c r="J1662" s="898"/>
      <c r="K1662" s="899"/>
      <c r="L1662" s="899"/>
      <c r="M1662" s="899"/>
      <c r="N1662" s="899"/>
      <c r="O1662" s="899"/>
      <c r="P1662" s="899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96"/>
      <c r="E1663" s="677"/>
      <c r="F1663" s="677"/>
      <c r="G1663" s="677"/>
      <c r="H1663" s="897"/>
      <c r="I1663" s="898"/>
      <c r="J1663" s="898"/>
      <c r="K1663" s="899"/>
      <c r="L1663" s="899"/>
      <c r="M1663" s="899"/>
      <c r="N1663" s="899"/>
      <c r="O1663" s="899"/>
      <c r="P1663" s="899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96"/>
      <c r="E1664" s="677"/>
      <c r="F1664" s="677"/>
      <c r="G1664" s="677"/>
      <c r="H1664" s="897"/>
      <c r="I1664" s="898"/>
      <c r="J1664" s="898"/>
      <c r="K1664" s="899"/>
      <c r="L1664" s="899"/>
      <c r="M1664" s="899"/>
      <c r="N1664" s="899"/>
      <c r="O1664" s="899"/>
      <c r="P1664" s="899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96"/>
      <c r="E1665" s="677"/>
      <c r="F1665" s="677"/>
      <c r="G1665" s="677"/>
      <c r="H1665" s="897"/>
      <c r="I1665" s="898"/>
      <c r="J1665" s="898"/>
      <c r="K1665" s="899"/>
      <c r="L1665" s="899"/>
      <c r="M1665" s="899"/>
      <c r="N1665" s="899"/>
      <c r="O1665" s="899"/>
      <c r="P1665" s="899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96"/>
      <c r="E1666" s="677"/>
      <c r="F1666" s="677"/>
      <c r="G1666" s="677"/>
      <c r="H1666" s="897"/>
      <c r="I1666" s="898"/>
      <c r="J1666" s="898"/>
      <c r="K1666" s="899"/>
      <c r="L1666" s="899"/>
      <c r="M1666" s="899"/>
      <c r="N1666" s="899"/>
      <c r="O1666" s="899"/>
      <c r="P1666" s="899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96"/>
      <c r="E1667" s="677"/>
      <c r="F1667" s="677"/>
      <c r="G1667" s="677"/>
      <c r="H1667" s="897"/>
      <c r="I1667" s="898"/>
      <c r="J1667" s="898"/>
      <c r="K1667" s="899"/>
      <c r="L1667" s="899"/>
      <c r="M1667" s="899"/>
      <c r="N1667" s="899"/>
      <c r="O1667" s="899"/>
      <c r="P1667" s="899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96"/>
      <c r="E1668" s="677"/>
      <c r="F1668" s="677"/>
      <c r="G1668" s="677"/>
      <c r="H1668" s="897"/>
      <c r="I1668" s="898"/>
      <c r="J1668" s="898"/>
      <c r="K1668" s="899"/>
      <c r="L1668" s="899"/>
      <c r="M1668" s="899"/>
      <c r="N1668" s="899"/>
      <c r="O1668" s="899"/>
      <c r="P1668" s="899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96"/>
      <c r="E1669" s="677"/>
      <c r="F1669" s="677"/>
      <c r="G1669" s="677"/>
      <c r="H1669" s="897"/>
      <c r="I1669" s="898"/>
      <c r="J1669" s="898"/>
      <c r="K1669" s="899"/>
      <c r="L1669" s="899"/>
      <c r="M1669" s="899"/>
      <c r="N1669" s="899"/>
      <c r="O1669" s="899"/>
      <c r="P1669" s="899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96"/>
      <c r="E1670" s="677"/>
      <c r="F1670" s="677"/>
      <c r="G1670" s="677"/>
      <c r="H1670" s="897"/>
      <c r="I1670" s="898"/>
      <c r="J1670" s="898"/>
      <c r="K1670" s="899"/>
      <c r="L1670" s="899"/>
      <c r="M1670" s="899"/>
      <c r="N1670" s="899"/>
      <c r="O1670" s="899"/>
      <c r="P1670" s="899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96"/>
      <c r="E1671" s="677"/>
      <c r="F1671" s="677"/>
      <c r="G1671" s="677"/>
      <c r="H1671" s="897"/>
      <c r="I1671" s="898"/>
      <c r="J1671" s="898"/>
      <c r="K1671" s="899"/>
      <c r="L1671" s="899"/>
      <c r="M1671" s="899"/>
      <c r="N1671" s="899"/>
      <c r="O1671" s="899"/>
      <c r="P1671" s="899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96"/>
      <c r="E1672" s="677"/>
      <c r="F1672" s="677"/>
      <c r="G1672" s="677"/>
      <c r="H1672" s="897"/>
      <c r="I1672" s="898"/>
      <c r="J1672" s="898"/>
      <c r="K1672" s="899"/>
      <c r="L1672" s="899"/>
      <c r="M1672" s="899"/>
      <c r="N1672" s="899"/>
      <c r="O1672" s="899"/>
      <c r="P1672" s="899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96"/>
      <c r="E1673" s="677"/>
      <c r="F1673" s="677"/>
      <c r="G1673" s="677"/>
      <c r="H1673" s="897"/>
      <c r="I1673" s="898"/>
      <c r="J1673" s="898"/>
      <c r="K1673" s="899"/>
      <c r="L1673" s="899"/>
      <c r="M1673" s="899"/>
      <c r="N1673" s="899"/>
      <c r="O1673" s="899"/>
      <c r="P1673" s="899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96"/>
      <c r="E1674" s="677"/>
      <c r="F1674" s="677"/>
      <c r="G1674" s="677"/>
      <c r="H1674" s="897"/>
      <c r="I1674" s="898"/>
      <c r="J1674" s="898"/>
      <c r="K1674" s="899"/>
      <c r="L1674" s="899"/>
      <c r="M1674" s="899"/>
      <c r="N1674" s="899"/>
      <c r="O1674" s="899"/>
      <c r="P1674" s="899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96"/>
      <c r="E1675" s="677"/>
      <c r="F1675" s="677"/>
      <c r="G1675" s="677"/>
      <c r="H1675" s="897"/>
      <c r="I1675" s="898"/>
      <c r="J1675" s="898"/>
      <c r="K1675" s="899"/>
      <c r="L1675" s="899"/>
      <c r="M1675" s="899"/>
      <c r="N1675" s="899"/>
      <c r="O1675" s="899"/>
      <c r="P1675" s="899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96"/>
      <c r="E1676" s="677"/>
      <c r="F1676" s="677"/>
      <c r="G1676" s="677"/>
      <c r="H1676" s="897"/>
      <c r="I1676" s="898"/>
      <c r="J1676" s="898"/>
      <c r="K1676" s="899"/>
      <c r="L1676" s="899"/>
      <c r="M1676" s="899"/>
      <c r="N1676" s="899"/>
      <c r="O1676" s="899"/>
      <c r="P1676" s="899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96"/>
      <c r="E1677" s="677"/>
      <c r="F1677" s="677"/>
      <c r="G1677" s="677"/>
      <c r="H1677" s="897"/>
      <c r="I1677" s="898"/>
      <c r="J1677" s="898"/>
      <c r="K1677" s="899"/>
      <c r="L1677" s="899"/>
      <c r="M1677" s="899"/>
      <c r="N1677" s="899"/>
      <c r="O1677" s="899"/>
      <c r="P1677" s="899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96"/>
      <c r="E1678" s="677"/>
      <c r="F1678" s="677"/>
      <c r="G1678" s="677"/>
      <c r="H1678" s="897"/>
      <c r="I1678" s="898"/>
      <c r="J1678" s="898"/>
      <c r="K1678" s="899"/>
      <c r="L1678" s="899"/>
      <c r="M1678" s="899"/>
      <c r="N1678" s="899"/>
      <c r="O1678" s="899"/>
      <c r="P1678" s="899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96"/>
      <c r="E1679" s="677"/>
      <c r="F1679" s="677"/>
      <c r="G1679" s="677"/>
      <c r="H1679" s="897"/>
      <c r="I1679" s="898"/>
      <c r="J1679" s="898"/>
      <c r="K1679" s="899"/>
      <c r="L1679" s="899"/>
      <c r="M1679" s="899"/>
      <c r="N1679" s="899"/>
      <c r="O1679" s="899"/>
      <c r="P1679" s="899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96"/>
      <c r="E1680" s="677"/>
      <c r="F1680" s="677"/>
      <c r="G1680" s="677"/>
      <c r="H1680" s="897"/>
      <c r="I1680" s="898"/>
      <c r="J1680" s="898"/>
      <c r="K1680" s="899"/>
      <c r="L1680" s="899"/>
      <c r="M1680" s="899"/>
      <c r="N1680" s="899"/>
      <c r="O1680" s="899"/>
      <c r="P1680" s="899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96"/>
      <c r="E1681" s="677"/>
      <c r="F1681" s="677"/>
      <c r="G1681" s="677"/>
      <c r="H1681" s="897"/>
      <c r="I1681" s="898"/>
      <c r="J1681" s="898"/>
      <c r="K1681" s="899"/>
      <c r="L1681" s="899"/>
      <c r="M1681" s="899"/>
      <c r="N1681" s="899"/>
      <c r="O1681" s="899"/>
      <c r="P1681" s="899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96"/>
      <c r="E1682" s="677"/>
      <c r="F1682" s="677"/>
      <c r="G1682" s="677"/>
      <c r="H1682" s="897"/>
      <c r="I1682" s="898"/>
      <c r="J1682" s="898"/>
      <c r="K1682" s="899"/>
      <c r="L1682" s="899"/>
      <c r="M1682" s="899"/>
      <c r="N1682" s="899"/>
      <c r="O1682" s="899"/>
      <c r="P1682" s="899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96"/>
      <c r="E1683" s="677"/>
      <c r="F1683" s="677"/>
      <c r="G1683" s="677"/>
      <c r="H1683" s="897"/>
      <c r="I1683" s="898"/>
      <c r="J1683" s="898"/>
      <c r="K1683" s="899"/>
      <c r="L1683" s="899"/>
      <c r="M1683" s="899"/>
      <c r="N1683" s="899"/>
      <c r="O1683" s="899"/>
      <c r="P1683" s="899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96"/>
      <c r="E1684" s="677"/>
      <c r="F1684" s="677"/>
      <c r="G1684" s="677"/>
      <c r="H1684" s="897"/>
      <c r="I1684" s="898"/>
      <c r="J1684" s="898"/>
      <c r="K1684" s="899"/>
      <c r="L1684" s="899"/>
      <c r="M1684" s="899"/>
      <c r="N1684" s="899"/>
      <c r="O1684" s="899"/>
      <c r="P1684" s="899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96"/>
      <c r="E1685" s="677"/>
      <c r="F1685" s="677"/>
      <c r="G1685" s="677"/>
      <c r="H1685" s="897"/>
      <c r="I1685" s="898"/>
      <c r="J1685" s="898"/>
      <c r="K1685" s="899"/>
      <c r="L1685" s="899"/>
      <c r="M1685" s="899"/>
      <c r="N1685" s="899"/>
      <c r="O1685" s="899"/>
      <c r="P1685" s="899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96"/>
      <c r="E1686" s="677"/>
      <c r="F1686" s="677"/>
      <c r="G1686" s="677"/>
      <c r="H1686" s="897"/>
      <c r="I1686" s="898"/>
      <c r="J1686" s="898"/>
      <c r="K1686" s="899"/>
      <c r="L1686" s="899"/>
      <c r="M1686" s="899"/>
      <c r="N1686" s="899"/>
      <c r="O1686" s="899"/>
      <c r="P1686" s="899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96"/>
      <c r="E1687" s="677"/>
      <c r="F1687" s="677"/>
      <c r="G1687" s="677"/>
      <c r="H1687" s="897"/>
      <c r="I1687" s="898"/>
      <c r="J1687" s="898"/>
      <c r="K1687" s="899"/>
      <c r="L1687" s="899"/>
      <c r="M1687" s="899"/>
      <c r="N1687" s="899"/>
      <c r="O1687" s="899"/>
      <c r="P1687" s="899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96"/>
      <c r="E1688" s="677"/>
      <c r="F1688" s="677"/>
      <c r="G1688" s="677"/>
      <c r="H1688" s="897"/>
      <c r="I1688" s="898"/>
      <c r="J1688" s="898"/>
      <c r="K1688" s="899"/>
      <c r="L1688" s="899"/>
      <c r="M1688" s="899"/>
      <c r="N1688" s="899"/>
      <c r="O1688" s="899"/>
      <c r="P1688" s="899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96"/>
      <c r="E1689" s="677"/>
      <c r="F1689" s="677"/>
      <c r="G1689" s="677"/>
      <c r="H1689" s="897"/>
      <c r="I1689" s="898"/>
      <c r="J1689" s="898"/>
      <c r="K1689" s="899"/>
      <c r="L1689" s="899"/>
      <c r="M1689" s="899"/>
      <c r="N1689" s="899"/>
      <c r="O1689" s="899"/>
      <c r="P1689" s="899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96"/>
      <c r="E1690" s="677"/>
      <c r="F1690" s="677"/>
      <c r="G1690" s="677"/>
      <c r="H1690" s="897"/>
      <c r="I1690" s="898"/>
      <c r="J1690" s="898"/>
      <c r="K1690" s="899"/>
      <c r="L1690" s="899"/>
      <c r="M1690" s="899"/>
      <c r="N1690" s="899"/>
      <c r="O1690" s="899"/>
      <c r="P1690" s="899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96"/>
      <c r="E1691" s="677"/>
      <c r="F1691" s="677"/>
      <c r="G1691" s="677"/>
      <c r="H1691" s="897"/>
      <c r="I1691" s="898"/>
      <c r="J1691" s="898"/>
      <c r="K1691" s="899"/>
      <c r="L1691" s="899"/>
      <c r="M1691" s="899"/>
      <c r="N1691" s="899"/>
      <c r="O1691" s="899"/>
      <c r="P1691" s="899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96"/>
      <c r="E1692" s="677"/>
      <c r="F1692" s="677"/>
      <c r="G1692" s="677"/>
      <c r="H1692" s="897"/>
      <c r="I1692" s="898"/>
      <c r="J1692" s="898"/>
      <c r="K1692" s="899"/>
      <c r="L1692" s="899"/>
      <c r="M1692" s="899"/>
      <c r="N1692" s="899"/>
      <c r="O1692" s="899"/>
      <c r="P1692" s="899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96"/>
      <c r="E1693" s="677"/>
      <c r="F1693" s="677"/>
      <c r="G1693" s="677"/>
      <c r="H1693" s="897"/>
      <c r="I1693" s="898"/>
      <c r="J1693" s="898"/>
      <c r="K1693" s="899"/>
      <c r="L1693" s="899"/>
      <c r="M1693" s="899"/>
      <c r="N1693" s="899"/>
      <c r="O1693" s="899"/>
      <c r="P1693" s="899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96"/>
      <c r="E1694" s="677"/>
      <c r="F1694" s="677"/>
      <c r="G1694" s="677"/>
      <c r="H1694" s="897"/>
      <c r="I1694" s="898"/>
      <c r="J1694" s="898"/>
      <c r="K1694" s="899"/>
      <c r="L1694" s="899"/>
      <c r="M1694" s="899"/>
      <c r="N1694" s="899"/>
      <c r="O1694" s="899"/>
      <c r="P1694" s="899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96"/>
      <c r="E1695" s="677"/>
      <c r="F1695" s="677"/>
      <c r="G1695" s="677"/>
      <c r="H1695" s="897"/>
      <c r="I1695" s="898"/>
      <c r="J1695" s="898"/>
      <c r="K1695" s="899"/>
      <c r="L1695" s="899"/>
      <c r="M1695" s="899"/>
      <c r="N1695" s="899"/>
      <c r="O1695" s="899"/>
      <c r="P1695" s="899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96"/>
      <c r="E1696" s="677"/>
      <c r="F1696" s="677"/>
      <c r="G1696" s="677"/>
      <c r="H1696" s="897"/>
      <c r="I1696" s="898"/>
      <c r="J1696" s="898"/>
      <c r="K1696" s="899"/>
      <c r="L1696" s="899"/>
      <c r="M1696" s="899"/>
      <c r="N1696" s="899"/>
      <c r="O1696" s="899"/>
      <c r="P1696" s="899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96"/>
      <c r="E1697" s="677"/>
      <c r="F1697" s="677"/>
      <c r="G1697" s="677"/>
      <c r="H1697" s="897"/>
      <c r="I1697" s="898"/>
      <c r="J1697" s="898"/>
      <c r="K1697" s="899"/>
      <c r="L1697" s="899"/>
      <c r="M1697" s="899"/>
      <c r="N1697" s="899"/>
      <c r="O1697" s="899"/>
      <c r="P1697" s="899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96"/>
      <c r="E1698" s="677"/>
      <c r="F1698" s="677"/>
      <c r="G1698" s="677"/>
      <c r="H1698" s="897"/>
      <c r="I1698" s="898"/>
      <c r="J1698" s="898"/>
      <c r="K1698" s="899"/>
      <c r="L1698" s="899"/>
      <c r="M1698" s="899"/>
      <c r="N1698" s="899"/>
      <c r="O1698" s="899"/>
      <c r="P1698" s="899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96"/>
      <c r="E1699" s="677"/>
      <c r="F1699" s="677"/>
      <c r="G1699" s="677"/>
      <c r="H1699" s="897"/>
      <c r="I1699" s="898"/>
      <c r="J1699" s="898"/>
      <c r="K1699" s="899"/>
      <c r="L1699" s="899"/>
      <c r="M1699" s="899"/>
      <c r="N1699" s="899"/>
      <c r="O1699" s="899"/>
      <c r="P1699" s="899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96"/>
      <c r="E1700" s="677"/>
      <c r="F1700" s="677"/>
      <c r="G1700" s="677"/>
      <c r="H1700" s="897"/>
      <c r="I1700" s="898"/>
      <c r="J1700" s="898"/>
      <c r="K1700" s="899"/>
      <c r="L1700" s="899"/>
      <c r="M1700" s="899"/>
      <c r="N1700" s="899"/>
      <c r="O1700" s="899"/>
      <c r="P1700" s="899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96"/>
      <c r="E1701" s="677"/>
      <c r="F1701" s="677"/>
      <c r="G1701" s="677"/>
      <c r="H1701" s="897"/>
      <c r="I1701" s="898"/>
      <c r="J1701" s="898"/>
      <c r="K1701" s="899"/>
      <c r="L1701" s="899"/>
      <c r="M1701" s="899"/>
      <c r="N1701" s="899"/>
      <c r="O1701" s="899"/>
      <c r="P1701" s="899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96"/>
      <c r="E1702" s="677"/>
      <c r="F1702" s="677"/>
      <c r="G1702" s="677"/>
      <c r="H1702" s="897"/>
      <c r="I1702" s="898"/>
      <c r="J1702" s="898"/>
      <c r="K1702" s="899"/>
      <c r="L1702" s="899"/>
      <c r="M1702" s="899"/>
      <c r="N1702" s="899"/>
      <c r="O1702" s="899"/>
      <c r="P1702" s="899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96"/>
      <c r="E1703" s="677"/>
      <c r="F1703" s="677"/>
      <c r="G1703" s="677"/>
      <c r="H1703" s="897"/>
      <c r="I1703" s="898"/>
      <c r="J1703" s="898"/>
      <c r="K1703" s="899"/>
      <c r="L1703" s="899"/>
      <c r="M1703" s="899"/>
      <c r="N1703" s="899"/>
      <c r="O1703" s="899"/>
      <c r="P1703" s="899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96"/>
      <c r="E1704" s="677"/>
      <c r="F1704" s="677"/>
      <c r="G1704" s="677"/>
      <c r="H1704" s="897"/>
      <c r="I1704" s="898"/>
      <c r="J1704" s="898"/>
      <c r="K1704" s="899"/>
      <c r="L1704" s="899"/>
      <c r="M1704" s="899"/>
      <c r="N1704" s="899"/>
      <c r="O1704" s="899"/>
      <c r="P1704" s="899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96"/>
      <c r="E1705" s="677"/>
      <c r="F1705" s="677"/>
      <c r="G1705" s="677"/>
      <c r="H1705" s="897"/>
      <c r="I1705" s="898"/>
      <c r="J1705" s="898"/>
      <c r="K1705" s="899"/>
      <c r="L1705" s="899"/>
      <c r="M1705" s="899"/>
      <c r="N1705" s="899"/>
      <c r="O1705" s="899"/>
      <c r="P1705" s="899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96"/>
      <c r="E1706" s="677"/>
      <c r="F1706" s="677"/>
      <c r="G1706" s="677"/>
      <c r="H1706" s="897"/>
      <c r="I1706" s="898"/>
      <c r="J1706" s="898"/>
      <c r="K1706" s="899"/>
      <c r="L1706" s="899"/>
      <c r="M1706" s="899"/>
      <c r="N1706" s="899"/>
      <c r="O1706" s="899"/>
      <c r="P1706" s="899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96"/>
      <c r="E1707" s="677"/>
      <c r="F1707" s="677"/>
      <c r="G1707" s="677"/>
      <c r="H1707" s="897"/>
      <c r="I1707" s="898"/>
      <c r="J1707" s="898"/>
      <c r="K1707" s="899"/>
      <c r="L1707" s="899"/>
      <c r="M1707" s="899"/>
      <c r="N1707" s="899"/>
      <c r="O1707" s="899"/>
      <c r="P1707" s="899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96"/>
      <c r="E1708" s="677"/>
      <c r="F1708" s="677"/>
      <c r="G1708" s="677"/>
      <c r="H1708" s="897"/>
      <c r="I1708" s="898"/>
      <c r="J1708" s="898"/>
      <c r="K1708" s="899"/>
      <c r="L1708" s="899"/>
      <c r="M1708" s="899"/>
      <c r="N1708" s="899"/>
      <c r="O1708" s="899"/>
      <c r="P1708" s="899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96"/>
      <c r="E1709" s="677"/>
      <c r="F1709" s="677"/>
      <c r="G1709" s="677"/>
      <c r="H1709" s="897"/>
      <c r="I1709" s="898"/>
      <c r="J1709" s="898"/>
      <c r="K1709" s="899"/>
      <c r="L1709" s="899"/>
      <c r="M1709" s="899"/>
      <c r="N1709" s="899"/>
      <c r="O1709" s="899"/>
      <c r="P1709" s="899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96"/>
      <c r="E1710" s="677"/>
      <c r="F1710" s="677"/>
      <c r="G1710" s="677"/>
      <c r="H1710" s="897"/>
      <c r="I1710" s="898"/>
      <c r="J1710" s="898"/>
      <c r="K1710" s="899"/>
      <c r="L1710" s="899"/>
      <c r="M1710" s="899"/>
      <c r="N1710" s="899"/>
      <c r="O1710" s="899"/>
      <c r="P1710" s="899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96"/>
      <c r="E1711" s="677"/>
      <c r="F1711" s="677"/>
      <c r="G1711" s="677"/>
      <c r="H1711" s="897"/>
      <c r="I1711" s="898"/>
      <c r="J1711" s="898"/>
      <c r="K1711" s="899"/>
      <c r="L1711" s="899"/>
      <c r="M1711" s="899"/>
      <c r="N1711" s="899"/>
      <c r="O1711" s="899"/>
      <c r="P1711" s="899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96"/>
      <c r="E1712" s="677"/>
      <c r="F1712" s="677"/>
      <c r="G1712" s="677"/>
      <c r="H1712" s="897"/>
      <c r="I1712" s="898"/>
      <c r="J1712" s="898"/>
      <c r="K1712" s="899"/>
      <c r="L1712" s="899"/>
      <c r="M1712" s="899"/>
      <c r="N1712" s="899"/>
      <c r="O1712" s="899"/>
      <c r="P1712" s="899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96"/>
      <c r="E1713" s="677"/>
      <c r="F1713" s="677"/>
      <c r="G1713" s="677"/>
      <c r="H1713" s="897"/>
      <c r="I1713" s="898"/>
      <c r="J1713" s="898"/>
      <c r="K1713" s="899"/>
      <c r="L1713" s="899"/>
      <c r="M1713" s="899"/>
      <c r="N1713" s="899"/>
      <c r="O1713" s="899"/>
      <c r="P1713" s="899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96"/>
      <c r="E1714" s="677"/>
      <c r="F1714" s="677"/>
      <c r="G1714" s="677"/>
      <c r="H1714" s="897"/>
      <c r="I1714" s="898"/>
      <c r="J1714" s="898"/>
      <c r="K1714" s="899"/>
      <c r="L1714" s="899"/>
      <c r="M1714" s="899"/>
      <c r="N1714" s="899"/>
      <c r="O1714" s="899"/>
      <c r="P1714" s="899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96"/>
      <c r="E1715" s="677"/>
      <c r="F1715" s="677"/>
      <c r="G1715" s="677"/>
      <c r="H1715" s="897"/>
      <c r="I1715" s="898"/>
      <c r="J1715" s="898"/>
      <c r="K1715" s="899"/>
      <c r="L1715" s="899"/>
      <c r="M1715" s="899"/>
      <c r="N1715" s="899"/>
      <c r="O1715" s="899"/>
      <c r="P1715" s="899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96"/>
      <c r="E1716" s="677"/>
      <c r="F1716" s="677"/>
      <c r="G1716" s="677"/>
      <c r="H1716" s="897"/>
      <c r="I1716" s="898"/>
      <c r="J1716" s="898"/>
      <c r="K1716" s="899"/>
      <c r="L1716" s="899"/>
      <c r="M1716" s="899"/>
      <c r="N1716" s="899"/>
      <c r="O1716" s="899"/>
      <c r="P1716" s="899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96"/>
      <c r="E1717" s="677"/>
      <c r="F1717" s="677"/>
      <c r="G1717" s="677"/>
      <c r="H1717" s="897"/>
      <c r="I1717" s="898"/>
      <c r="J1717" s="898"/>
      <c r="K1717" s="899"/>
      <c r="L1717" s="899"/>
      <c r="M1717" s="899"/>
      <c r="N1717" s="899"/>
      <c r="O1717" s="899"/>
      <c r="P1717" s="899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96"/>
      <c r="E1718" s="677"/>
      <c r="F1718" s="677"/>
      <c r="G1718" s="677"/>
      <c r="H1718" s="897"/>
      <c r="I1718" s="898"/>
      <c r="J1718" s="898"/>
      <c r="K1718" s="899"/>
      <c r="L1718" s="899"/>
      <c r="M1718" s="899"/>
      <c r="N1718" s="899"/>
      <c r="O1718" s="899"/>
      <c r="P1718" s="899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96"/>
      <c r="E1719" s="677"/>
      <c r="F1719" s="677"/>
      <c r="G1719" s="677"/>
      <c r="H1719" s="897"/>
      <c r="I1719" s="898"/>
      <c r="J1719" s="898"/>
      <c r="K1719" s="899"/>
      <c r="L1719" s="899"/>
      <c r="M1719" s="899"/>
      <c r="N1719" s="899"/>
      <c r="O1719" s="899"/>
      <c r="P1719" s="899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96"/>
      <c r="E1720" s="677"/>
      <c r="F1720" s="677"/>
      <c r="G1720" s="677"/>
      <c r="H1720" s="897"/>
      <c r="I1720" s="898"/>
      <c r="J1720" s="898"/>
      <c r="K1720" s="899"/>
      <c r="L1720" s="899"/>
      <c r="M1720" s="899"/>
      <c r="N1720" s="899"/>
      <c r="O1720" s="899"/>
      <c r="P1720" s="899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96"/>
      <c r="E1721" s="677"/>
      <c r="F1721" s="677"/>
      <c r="G1721" s="677"/>
      <c r="H1721" s="897"/>
      <c r="I1721" s="898"/>
      <c r="J1721" s="898"/>
      <c r="K1721" s="899"/>
      <c r="L1721" s="899"/>
      <c r="M1721" s="899"/>
      <c r="N1721" s="899"/>
      <c r="O1721" s="899"/>
      <c r="P1721" s="899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96"/>
      <c r="E1722" s="677"/>
      <c r="F1722" s="677"/>
      <c r="G1722" s="677"/>
      <c r="H1722" s="897"/>
      <c r="I1722" s="898"/>
      <c r="J1722" s="898"/>
      <c r="K1722" s="899"/>
      <c r="L1722" s="899"/>
      <c r="M1722" s="899"/>
      <c r="N1722" s="899"/>
      <c r="O1722" s="899"/>
      <c r="P1722" s="899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96"/>
      <c r="E1723" s="677"/>
      <c r="F1723" s="677"/>
      <c r="G1723" s="677"/>
      <c r="H1723" s="897"/>
      <c r="I1723" s="898"/>
      <c r="J1723" s="898"/>
      <c r="K1723" s="899"/>
      <c r="L1723" s="899"/>
      <c r="M1723" s="899"/>
      <c r="N1723" s="899"/>
      <c r="O1723" s="899"/>
      <c r="P1723" s="899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96"/>
      <c r="E1724" s="677"/>
      <c r="F1724" s="677"/>
      <c r="G1724" s="677"/>
      <c r="H1724" s="897"/>
      <c r="I1724" s="898"/>
      <c r="J1724" s="898"/>
      <c r="K1724" s="899"/>
      <c r="L1724" s="899"/>
      <c r="M1724" s="899"/>
      <c r="N1724" s="899"/>
      <c r="O1724" s="899"/>
      <c r="P1724" s="899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96"/>
      <c r="E1725" s="677"/>
      <c r="F1725" s="677"/>
      <c r="G1725" s="677"/>
      <c r="H1725" s="897"/>
      <c r="I1725" s="898"/>
      <c r="J1725" s="898"/>
      <c r="K1725" s="899"/>
      <c r="L1725" s="899"/>
      <c r="M1725" s="899"/>
      <c r="N1725" s="899"/>
      <c r="O1725" s="899"/>
      <c r="P1725" s="899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96"/>
      <c r="E1726" s="677"/>
      <c r="F1726" s="677"/>
      <c r="G1726" s="677"/>
      <c r="H1726" s="897"/>
      <c r="I1726" s="898"/>
      <c r="J1726" s="898"/>
      <c r="K1726" s="899"/>
      <c r="L1726" s="899"/>
      <c r="M1726" s="899"/>
      <c r="N1726" s="899"/>
      <c r="O1726" s="899"/>
      <c r="P1726" s="899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96"/>
      <c r="E1727" s="677"/>
      <c r="F1727" s="677"/>
      <c r="G1727" s="677"/>
      <c r="H1727" s="897"/>
      <c r="I1727" s="898"/>
      <c r="J1727" s="898"/>
      <c r="K1727" s="899"/>
      <c r="L1727" s="899"/>
      <c r="M1727" s="899"/>
      <c r="N1727" s="899"/>
      <c r="O1727" s="899"/>
      <c r="P1727" s="899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96"/>
      <c r="E1728" s="677"/>
      <c r="F1728" s="677"/>
      <c r="G1728" s="677"/>
      <c r="H1728" s="897"/>
      <c r="I1728" s="898"/>
      <c r="J1728" s="898"/>
      <c r="K1728" s="899"/>
      <c r="L1728" s="899"/>
      <c r="M1728" s="899"/>
      <c r="N1728" s="899"/>
      <c r="O1728" s="899"/>
      <c r="P1728" s="899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96"/>
      <c r="E1729" s="677"/>
      <c r="F1729" s="677"/>
      <c r="G1729" s="677"/>
      <c r="H1729" s="897"/>
      <c r="I1729" s="898"/>
      <c r="J1729" s="898"/>
      <c r="K1729" s="899"/>
      <c r="L1729" s="899"/>
      <c r="M1729" s="899"/>
      <c r="N1729" s="899"/>
      <c r="O1729" s="899"/>
      <c r="P1729" s="899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96"/>
      <c r="E1730" s="677"/>
      <c r="F1730" s="677"/>
      <c r="G1730" s="677"/>
      <c r="H1730" s="897"/>
      <c r="I1730" s="898"/>
      <c r="J1730" s="898"/>
      <c r="K1730" s="899"/>
      <c r="L1730" s="899"/>
      <c r="M1730" s="899"/>
      <c r="N1730" s="899"/>
      <c r="O1730" s="899"/>
      <c r="P1730" s="899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96"/>
      <c r="E1731" s="677"/>
      <c r="F1731" s="677"/>
      <c r="G1731" s="677"/>
      <c r="H1731" s="897"/>
      <c r="I1731" s="898"/>
      <c r="J1731" s="898"/>
      <c r="K1731" s="899"/>
      <c r="L1731" s="899"/>
      <c r="M1731" s="899"/>
      <c r="N1731" s="899"/>
      <c r="O1731" s="899"/>
      <c r="P1731" s="899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96"/>
      <c r="E1732" s="677"/>
      <c r="F1732" s="677"/>
      <c r="G1732" s="677"/>
      <c r="H1732" s="897"/>
      <c r="I1732" s="898"/>
      <c r="J1732" s="898"/>
      <c r="K1732" s="899"/>
      <c r="L1732" s="899"/>
      <c r="M1732" s="899"/>
      <c r="N1732" s="899"/>
      <c r="O1732" s="899"/>
      <c r="P1732" s="899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96"/>
      <c r="E1733" s="677"/>
      <c r="F1733" s="677"/>
      <c r="G1733" s="677"/>
      <c r="H1733" s="897"/>
      <c r="I1733" s="898"/>
      <c r="J1733" s="898"/>
      <c r="K1733" s="899"/>
      <c r="L1733" s="899"/>
      <c r="M1733" s="899"/>
      <c r="N1733" s="899"/>
      <c r="O1733" s="899"/>
      <c r="P1733" s="899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96"/>
      <c r="E1734" s="677"/>
      <c r="F1734" s="677"/>
      <c r="G1734" s="677"/>
      <c r="H1734" s="897"/>
      <c r="I1734" s="898"/>
      <c r="J1734" s="898"/>
      <c r="K1734" s="899"/>
      <c r="L1734" s="899"/>
      <c r="M1734" s="899"/>
      <c r="N1734" s="899"/>
      <c r="O1734" s="899"/>
      <c r="P1734" s="899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96"/>
      <c r="E1735" s="677"/>
      <c r="F1735" s="677"/>
      <c r="G1735" s="677"/>
      <c r="H1735" s="897"/>
      <c r="I1735" s="898"/>
      <c r="J1735" s="898"/>
      <c r="K1735" s="899"/>
      <c r="L1735" s="899"/>
      <c r="M1735" s="899"/>
      <c r="N1735" s="899"/>
      <c r="O1735" s="899"/>
      <c r="P1735" s="899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96"/>
      <c r="E1736" s="677"/>
      <c r="F1736" s="677"/>
      <c r="G1736" s="677"/>
      <c r="H1736" s="897"/>
      <c r="I1736" s="898"/>
      <c r="J1736" s="898"/>
      <c r="K1736" s="899"/>
      <c r="L1736" s="899"/>
      <c r="M1736" s="899"/>
      <c r="N1736" s="899"/>
      <c r="O1736" s="899"/>
      <c r="P1736" s="899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96"/>
      <c r="E1737" s="677"/>
      <c r="F1737" s="677"/>
      <c r="G1737" s="677"/>
      <c r="H1737" s="897"/>
      <c r="I1737" s="898"/>
      <c r="J1737" s="898"/>
      <c r="K1737" s="899"/>
      <c r="L1737" s="899"/>
      <c r="M1737" s="899"/>
      <c r="N1737" s="899"/>
      <c r="O1737" s="899"/>
      <c r="P1737" s="899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96"/>
      <c r="E1738" s="677"/>
      <c r="F1738" s="677"/>
      <c r="G1738" s="677"/>
      <c r="H1738" s="897"/>
      <c r="I1738" s="898"/>
      <c r="J1738" s="898"/>
      <c r="K1738" s="899"/>
      <c r="L1738" s="899"/>
      <c r="M1738" s="899"/>
      <c r="N1738" s="899"/>
      <c r="O1738" s="899"/>
      <c r="P1738" s="899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96"/>
      <c r="E1739" s="677"/>
      <c r="F1739" s="677"/>
      <c r="G1739" s="677"/>
      <c r="H1739" s="897"/>
      <c r="I1739" s="898"/>
      <c r="J1739" s="898"/>
      <c r="K1739" s="899"/>
      <c r="L1739" s="899"/>
      <c r="M1739" s="899"/>
      <c r="N1739" s="899"/>
      <c r="O1739" s="899"/>
      <c r="P1739" s="899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96"/>
      <c r="E1740" s="677"/>
      <c r="F1740" s="677"/>
      <c r="G1740" s="677"/>
      <c r="H1740" s="897"/>
      <c r="I1740" s="898"/>
      <c r="J1740" s="898"/>
      <c r="K1740" s="899"/>
      <c r="L1740" s="899"/>
      <c r="M1740" s="899"/>
      <c r="N1740" s="899"/>
      <c r="O1740" s="899"/>
      <c r="P1740" s="899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96"/>
      <c r="E1741" s="677"/>
      <c r="F1741" s="677"/>
      <c r="G1741" s="677"/>
      <c r="H1741" s="897"/>
      <c r="I1741" s="898"/>
      <c r="J1741" s="898"/>
      <c r="K1741" s="899"/>
      <c r="L1741" s="899"/>
      <c r="M1741" s="899"/>
      <c r="N1741" s="899"/>
      <c r="O1741" s="899"/>
      <c r="P1741" s="899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96"/>
      <c r="E1742" s="677"/>
      <c r="F1742" s="677"/>
      <c r="G1742" s="677"/>
      <c r="H1742" s="897"/>
      <c r="I1742" s="898"/>
      <c r="J1742" s="898"/>
      <c r="K1742" s="899"/>
      <c r="L1742" s="899"/>
      <c r="M1742" s="899"/>
      <c r="N1742" s="899"/>
      <c r="O1742" s="899"/>
      <c r="P1742" s="899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96"/>
      <c r="E1743" s="677"/>
      <c r="F1743" s="677"/>
      <c r="G1743" s="677"/>
      <c r="H1743" s="897"/>
      <c r="I1743" s="898"/>
      <c r="J1743" s="898"/>
      <c r="K1743" s="899"/>
      <c r="L1743" s="899"/>
      <c r="M1743" s="899"/>
      <c r="N1743" s="899"/>
      <c r="O1743" s="899"/>
      <c r="P1743" s="899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96"/>
      <c r="E1744" s="677"/>
      <c r="F1744" s="677"/>
      <c r="G1744" s="677"/>
      <c r="H1744" s="897"/>
      <c r="I1744" s="898"/>
      <c r="J1744" s="898"/>
      <c r="K1744" s="899"/>
      <c r="L1744" s="899"/>
      <c r="M1744" s="899"/>
      <c r="N1744" s="899"/>
      <c r="O1744" s="899"/>
      <c r="P1744" s="899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96"/>
      <c r="E1745" s="677"/>
      <c r="F1745" s="677"/>
      <c r="G1745" s="677"/>
      <c r="H1745" s="897"/>
      <c r="I1745" s="898"/>
      <c r="J1745" s="898"/>
      <c r="K1745" s="899"/>
      <c r="L1745" s="899"/>
      <c r="M1745" s="899"/>
      <c r="N1745" s="899"/>
      <c r="O1745" s="899"/>
      <c r="P1745" s="899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96"/>
      <c r="E1746" s="677"/>
      <c r="F1746" s="677"/>
      <c r="G1746" s="677"/>
      <c r="H1746" s="897"/>
      <c r="I1746" s="898"/>
      <c r="J1746" s="898"/>
      <c r="K1746" s="899"/>
      <c r="L1746" s="899"/>
      <c r="M1746" s="899"/>
      <c r="N1746" s="899"/>
      <c r="O1746" s="899"/>
      <c r="P1746" s="899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96"/>
      <c r="E1747" s="677"/>
      <c r="F1747" s="677"/>
      <c r="G1747" s="677"/>
      <c r="H1747" s="897"/>
      <c r="I1747" s="898"/>
      <c r="J1747" s="898"/>
      <c r="K1747" s="899"/>
      <c r="L1747" s="899"/>
      <c r="M1747" s="899"/>
      <c r="N1747" s="899"/>
      <c r="O1747" s="899"/>
      <c r="P1747" s="899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96"/>
      <c r="E1748" s="677"/>
      <c r="F1748" s="677"/>
      <c r="G1748" s="677"/>
      <c r="H1748" s="897"/>
      <c r="I1748" s="898"/>
      <c r="J1748" s="898"/>
      <c r="K1748" s="899"/>
      <c r="L1748" s="899"/>
      <c r="M1748" s="899"/>
      <c r="N1748" s="899"/>
      <c r="O1748" s="899"/>
      <c r="P1748" s="899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96"/>
      <c r="E1749" s="677"/>
      <c r="F1749" s="677"/>
      <c r="G1749" s="677"/>
      <c r="H1749" s="897"/>
      <c r="I1749" s="898"/>
      <c r="J1749" s="898"/>
      <c r="K1749" s="899"/>
      <c r="L1749" s="899"/>
      <c r="M1749" s="899"/>
      <c r="N1749" s="899"/>
      <c r="O1749" s="899"/>
      <c r="P1749" s="899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96"/>
      <c r="E1750" s="677"/>
      <c r="F1750" s="677"/>
      <c r="G1750" s="677"/>
      <c r="H1750" s="897"/>
      <c r="I1750" s="898"/>
      <c r="J1750" s="898"/>
      <c r="K1750" s="899"/>
      <c r="L1750" s="899"/>
      <c r="M1750" s="899"/>
      <c r="N1750" s="899"/>
      <c r="O1750" s="899"/>
      <c r="P1750" s="899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96"/>
      <c r="E1751" s="677"/>
      <c r="F1751" s="677"/>
      <c r="G1751" s="677"/>
      <c r="H1751" s="897"/>
      <c r="I1751" s="898"/>
      <c r="J1751" s="898"/>
      <c r="K1751" s="899"/>
      <c r="L1751" s="899"/>
      <c r="M1751" s="899"/>
      <c r="N1751" s="899"/>
      <c r="O1751" s="899"/>
      <c r="P1751" s="899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96"/>
      <c r="E1752" s="677"/>
      <c r="F1752" s="677"/>
      <c r="G1752" s="677"/>
      <c r="H1752" s="897"/>
      <c r="I1752" s="898"/>
      <c r="J1752" s="898"/>
      <c r="K1752" s="899"/>
      <c r="L1752" s="899"/>
      <c r="M1752" s="899"/>
      <c r="N1752" s="899"/>
      <c r="O1752" s="899"/>
      <c r="P1752" s="899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96"/>
      <c r="E1753" s="677"/>
      <c r="F1753" s="677"/>
      <c r="G1753" s="677"/>
      <c r="H1753" s="897"/>
      <c r="I1753" s="898"/>
      <c r="J1753" s="898"/>
      <c r="K1753" s="899"/>
      <c r="L1753" s="899"/>
      <c r="M1753" s="899"/>
      <c r="N1753" s="899"/>
      <c r="O1753" s="899"/>
      <c r="P1753" s="899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96"/>
      <c r="E1754" s="677"/>
      <c r="F1754" s="677"/>
      <c r="G1754" s="677"/>
      <c r="H1754" s="897"/>
      <c r="I1754" s="898"/>
      <c r="J1754" s="898"/>
      <c r="K1754" s="899"/>
      <c r="L1754" s="899"/>
      <c r="M1754" s="899"/>
      <c r="N1754" s="899"/>
      <c r="O1754" s="899"/>
      <c r="P1754" s="899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96"/>
      <c r="E1755" s="677"/>
      <c r="F1755" s="677"/>
      <c r="G1755" s="677"/>
      <c r="H1755" s="897"/>
      <c r="I1755" s="898"/>
      <c r="J1755" s="898"/>
      <c r="K1755" s="899"/>
      <c r="L1755" s="899"/>
      <c r="M1755" s="899"/>
      <c r="N1755" s="899"/>
      <c r="O1755" s="899"/>
      <c r="P1755" s="899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96"/>
      <c r="E1756" s="677"/>
      <c r="F1756" s="677"/>
      <c r="G1756" s="677"/>
      <c r="H1756" s="897"/>
      <c r="I1756" s="898"/>
      <c r="J1756" s="898"/>
      <c r="K1756" s="899"/>
      <c r="L1756" s="899"/>
      <c r="M1756" s="899"/>
      <c r="N1756" s="899"/>
      <c r="O1756" s="899"/>
      <c r="P1756" s="899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96"/>
      <c r="E1757" s="677"/>
      <c r="F1757" s="677"/>
      <c r="G1757" s="677"/>
      <c r="H1757" s="897"/>
      <c r="I1757" s="898"/>
      <c r="J1757" s="898"/>
      <c r="K1757" s="899"/>
      <c r="L1757" s="899"/>
      <c r="M1757" s="899"/>
      <c r="N1757" s="899"/>
      <c r="O1757" s="899"/>
      <c r="P1757" s="899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96"/>
      <c r="E1758" s="677"/>
      <c r="F1758" s="677"/>
      <c r="G1758" s="677"/>
      <c r="H1758" s="897"/>
      <c r="I1758" s="898"/>
      <c r="J1758" s="898"/>
      <c r="K1758" s="899"/>
      <c r="L1758" s="899"/>
      <c r="M1758" s="899"/>
      <c r="N1758" s="899"/>
      <c r="O1758" s="899"/>
      <c r="P1758" s="899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96"/>
      <c r="E1759" s="677"/>
      <c r="F1759" s="677"/>
      <c r="G1759" s="677"/>
      <c r="H1759" s="897"/>
      <c r="I1759" s="898"/>
      <c r="J1759" s="898"/>
      <c r="K1759" s="899"/>
      <c r="L1759" s="899"/>
      <c r="M1759" s="899"/>
      <c r="N1759" s="899"/>
      <c r="O1759" s="899"/>
      <c r="P1759" s="899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96"/>
      <c r="E1760" s="677"/>
      <c r="F1760" s="677"/>
      <c r="G1760" s="677"/>
      <c r="H1760" s="897"/>
      <c r="I1760" s="898"/>
      <c r="J1760" s="898"/>
      <c r="K1760" s="899"/>
      <c r="L1760" s="899"/>
      <c r="M1760" s="899"/>
      <c r="N1760" s="899"/>
      <c r="O1760" s="899"/>
      <c r="P1760" s="899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96"/>
      <c r="E1761" s="677"/>
      <c r="F1761" s="677"/>
      <c r="G1761" s="677"/>
      <c r="H1761" s="897"/>
      <c r="I1761" s="898"/>
      <c r="J1761" s="898"/>
      <c r="K1761" s="899"/>
      <c r="L1761" s="899"/>
      <c r="M1761" s="899"/>
      <c r="N1761" s="899"/>
      <c r="O1761" s="899"/>
      <c r="P1761" s="899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96"/>
      <c r="E1762" s="677"/>
      <c r="F1762" s="677"/>
      <c r="G1762" s="677"/>
      <c r="H1762" s="897"/>
      <c r="I1762" s="898"/>
      <c r="J1762" s="898"/>
      <c r="K1762" s="899"/>
      <c r="L1762" s="899"/>
      <c r="M1762" s="899"/>
      <c r="N1762" s="899"/>
      <c r="O1762" s="899"/>
      <c r="P1762" s="899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96"/>
      <c r="E1763" s="677"/>
      <c r="F1763" s="677"/>
      <c r="G1763" s="677"/>
      <c r="H1763" s="897"/>
      <c r="I1763" s="898"/>
      <c r="J1763" s="898"/>
      <c r="K1763" s="899"/>
      <c r="L1763" s="899"/>
      <c r="M1763" s="899"/>
      <c r="N1763" s="899"/>
      <c r="O1763" s="899"/>
      <c r="P1763" s="899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96"/>
      <c r="E1764" s="677"/>
      <c r="F1764" s="677"/>
      <c r="G1764" s="677"/>
      <c r="H1764" s="897"/>
      <c r="I1764" s="898"/>
      <c r="J1764" s="898"/>
      <c r="K1764" s="899"/>
      <c r="L1764" s="899"/>
      <c r="M1764" s="899"/>
      <c r="N1764" s="899"/>
      <c r="O1764" s="899"/>
      <c r="P1764" s="899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96"/>
      <c r="E1765" s="677"/>
      <c r="F1765" s="677"/>
      <c r="G1765" s="677"/>
      <c r="H1765" s="897"/>
      <c r="I1765" s="898"/>
      <c r="J1765" s="898"/>
      <c r="K1765" s="899"/>
      <c r="L1765" s="899"/>
      <c r="M1765" s="899"/>
      <c r="N1765" s="899"/>
      <c r="O1765" s="899"/>
      <c r="P1765" s="899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96"/>
      <c r="E1766" s="677"/>
      <c r="F1766" s="677"/>
      <c r="G1766" s="677"/>
      <c r="H1766" s="897"/>
      <c r="I1766" s="898"/>
      <c r="J1766" s="898"/>
      <c r="K1766" s="899"/>
      <c r="L1766" s="899"/>
      <c r="M1766" s="899"/>
      <c r="N1766" s="899"/>
      <c r="O1766" s="899"/>
      <c r="P1766" s="899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96"/>
      <c r="E1767" s="677"/>
      <c r="F1767" s="677"/>
      <c r="G1767" s="677"/>
      <c r="H1767" s="897"/>
      <c r="I1767" s="898"/>
      <c r="J1767" s="898"/>
      <c r="K1767" s="899"/>
      <c r="L1767" s="899"/>
      <c r="M1767" s="899"/>
      <c r="N1767" s="899"/>
      <c r="O1767" s="899"/>
      <c r="P1767" s="899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96"/>
      <c r="E1768" s="677"/>
      <c r="F1768" s="677"/>
      <c r="G1768" s="677"/>
      <c r="H1768" s="897"/>
      <c r="I1768" s="898"/>
      <c r="J1768" s="898"/>
      <c r="K1768" s="899"/>
      <c r="L1768" s="899"/>
      <c r="M1768" s="899"/>
      <c r="N1768" s="899"/>
      <c r="O1768" s="899"/>
      <c r="P1768" s="899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96"/>
      <c r="E1769" s="677"/>
      <c r="F1769" s="677"/>
      <c r="G1769" s="677"/>
      <c r="H1769" s="897"/>
      <c r="I1769" s="898"/>
      <c r="J1769" s="898"/>
      <c r="K1769" s="899"/>
      <c r="L1769" s="899"/>
      <c r="M1769" s="899"/>
      <c r="N1769" s="899"/>
      <c r="O1769" s="899"/>
      <c r="P1769" s="899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96"/>
      <c r="E1770" s="677"/>
      <c r="F1770" s="677"/>
      <c r="G1770" s="677"/>
      <c r="H1770" s="897"/>
      <c r="I1770" s="898"/>
      <c r="J1770" s="898"/>
      <c r="K1770" s="899"/>
      <c r="L1770" s="899"/>
      <c r="M1770" s="899"/>
      <c r="N1770" s="899"/>
      <c r="O1770" s="899"/>
      <c r="P1770" s="899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96"/>
      <c r="E1771" s="677"/>
      <c r="F1771" s="677"/>
      <c r="G1771" s="677"/>
      <c r="H1771" s="897"/>
      <c r="I1771" s="898"/>
      <c r="J1771" s="898"/>
      <c r="K1771" s="899"/>
      <c r="L1771" s="899"/>
      <c r="M1771" s="899"/>
      <c r="N1771" s="899"/>
      <c r="O1771" s="899"/>
      <c r="P1771" s="899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96"/>
      <c r="E1772" s="677"/>
      <c r="F1772" s="677"/>
      <c r="G1772" s="677"/>
      <c r="H1772" s="897"/>
      <c r="I1772" s="898"/>
      <c r="J1772" s="898"/>
      <c r="K1772" s="899"/>
      <c r="L1772" s="899"/>
      <c r="M1772" s="899"/>
      <c r="N1772" s="899"/>
      <c r="O1772" s="899"/>
      <c r="P1772" s="899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96"/>
      <c r="E1773" s="677"/>
      <c r="F1773" s="677"/>
      <c r="G1773" s="677"/>
      <c r="H1773" s="897"/>
      <c r="I1773" s="898"/>
      <c r="J1773" s="898"/>
      <c r="K1773" s="899"/>
      <c r="L1773" s="899"/>
      <c r="M1773" s="899"/>
      <c r="N1773" s="899"/>
      <c r="O1773" s="899"/>
      <c r="P1773" s="899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96"/>
      <c r="E1774" s="677"/>
      <c r="F1774" s="677"/>
      <c r="G1774" s="677"/>
      <c r="H1774" s="897"/>
      <c r="I1774" s="898"/>
      <c r="J1774" s="898"/>
      <c r="K1774" s="899"/>
      <c r="L1774" s="899"/>
      <c r="M1774" s="899"/>
      <c r="N1774" s="899"/>
      <c r="O1774" s="899"/>
      <c r="P1774" s="899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96"/>
      <c r="E1775" s="677"/>
      <c r="F1775" s="677"/>
      <c r="G1775" s="677"/>
      <c r="H1775" s="897"/>
      <c r="I1775" s="898"/>
      <c r="J1775" s="898"/>
      <c r="K1775" s="899"/>
      <c r="L1775" s="899"/>
      <c r="M1775" s="899"/>
      <c r="N1775" s="899"/>
      <c r="O1775" s="899"/>
      <c r="P1775" s="899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96"/>
      <c r="E1776" s="677"/>
      <c r="F1776" s="677"/>
      <c r="G1776" s="677"/>
      <c r="H1776" s="897"/>
      <c r="I1776" s="898"/>
      <c r="J1776" s="898"/>
      <c r="K1776" s="899"/>
      <c r="L1776" s="899"/>
      <c r="M1776" s="899"/>
      <c r="N1776" s="899"/>
      <c r="O1776" s="899"/>
      <c r="P1776" s="899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96"/>
      <c r="E1777" s="677"/>
      <c r="F1777" s="677"/>
      <c r="G1777" s="677"/>
      <c r="H1777" s="897"/>
      <c r="I1777" s="898"/>
      <c r="J1777" s="898"/>
      <c r="K1777" s="899"/>
      <c r="L1777" s="899"/>
      <c r="M1777" s="899"/>
      <c r="N1777" s="899"/>
      <c r="O1777" s="899"/>
      <c r="P1777" s="899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96"/>
      <c r="E1778" s="677"/>
      <c r="F1778" s="677"/>
      <c r="G1778" s="677"/>
      <c r="H1778" s="897"/>
      <c r="I1778" s="898"/>
      <c r="J1778" s="898"/>
      <c r="K1778" s="899"/>
      <c r="L1778" s="899"/>
      <c r="M1778" s="899"/>
      <c r="N1778" s="899"/>
      <c r="O1778" s="899"/>
      <c r="P1778" s="899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96"/>
      <c r="E1779" s="677"/>
      <c r="F1779" s="677"/>
      <c r="G1779" s="677"/>
      <c r="H1779" s="897"/>
      <c r="I1779" s="898"/>
      <c r="J1779" s="898"/>
      <c r="K1779" s="899"/>
      <c r="L1779" s="899"/>
      <c r="M1779" s="899"/>
      <c r="N1779" s="899"/>
      <c r="O1779" s="899"/>
      <c r="P1779" s="899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96"/>
      <c r="E1780" s="677"/>
      <c r="F1780" s="677"/>
      <c r="G1780" s="677"/>
      <c r="H1780" s="897"/>
      <c r="I1780" s="898"/>
      <c r="J1780" s="898"/>
      <c r="K1780" s="899"/>
      <c r="L1780" s="899"/>
      <c r="M1780" s="899"/>
      <c r="N1780" s="899"/>
      <c r="O1780" s="899"/>
      <c r="P1780" s="899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96"/>
      <c r="E1781" s="677"/>
      <c r="F1781" s="677"/>
      <c r="G1781" s="677"/>
      <c r="H1781" s="897"/>
      <c r="I1781" s="898"/>
      <c r="J1781" s="898"/>
      <c r="K1781" s="899"/>
      <c r="L1781" s="899"/>
      <c r="M1781" s="899"/>
      <c r="N1781" s="899"/>
      <c r="O1781" s="899"/>
      <c r="P1781" s="899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96"/>
      <c r="E1782" s="677"/>
      <c r="F1782" s="677"/>
      <c r="G1782" s="677"/>
      <c r="H1782" s="897"/>
      <c r="I1782" s="898"/>
      <c r="J1782" s="898"/>
      <c r="K1782" s="899"/>
      <c r="L1782" s="899"/>
      <c r="M1782" s="899"/>
      <c r="N1782" s="899"/>
      <c r="O1782" s="899"/>
      <c r="P1782" s="899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96"/>
      <c r="E1783" s="677"/>
      <c r="F1783" s="677"/>
      <c r="G1783" s="677"/>
      <c r="H1783" s="897"/>
      <c r="I1783" s="898"/>
      <c r="J1783" s="898"/>
      <c r="K1783" s="899"/>
      <c r="L1783" s="899"/>
      <c r="M1783" s="899"/>
      <c r="N1783" s="899"/>
      <c r="O1783" s="899"/>
      <c r="P1783" s="899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96"/>
      <c r="E1784" s="677"/>
      <c r="F1784" s="677"/>
      <c r="G1784" s="677"/>
      <c r="H1784" s="897"/>
      <c r="I1784" s="898"/>
      <c r="J1784" s="898"/>
      <c r="K1784" s="899"/>
      <c r="L1784" s="899"/>
      <c r="M1784" s="899"/>
      <c r="N1784" s="899"/>
      <c r="O1784" s="899"/>
      <c r="P1784" s="899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96"/>
      <c r="E1785" s="677"/>
      <c r="F1785" s="677"/>
      <c r="G1785" s="677"/>
      <c r="H1785" s="897"/>
      <c r="I1785" s="898"/>
      <c r="J1785" s="898"/>
      <c r="K1785" s="899"/>
      <c r="L1785" s="899"/>
      <c r="M1785" s="899"/>
      <c r="N1785" s="899"/>
      <c r="O1785" s="899"/>
      <c r="P1785" s="899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96"/>
      <c r="E1786" s="677"/>
      <c r="F1786" s="677"/>
      <c r="G1786" s="677"/>
      <c r="H1786" s="897"/>
      <c r="I1786" s="898"/>
      <c r="J1786" s="898"/>
      <c r="K1786" s="899"/>
      <c r="L1786" s="899"/>
      <c r="M1786" s="899"/>
      <c r="N1786" s="899"/>
      <c r="O1786" s="899"/>
      <c r="P1786" s="899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96"/>
      <c r="E1787" s="677"/>
      <c r="F1787" s="677"/>
      <c r="G1787" s="677"/>
      <c r="H1787" s="897"/>
      <c r="I1787" s="898"/>
      <c r="J1787" s="898"/>
      <c r="K1787" s="899"/>
      <c r="L1787" s="899"/>
      <c r="M1787" s="899"/>
      <c r="N1787" s="899"/>
      <c r="O1787" s="899"/>
      <c r="P1787" s="899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96"/>
      <c r="E1788" s="677"/>
      <c r="F1788" s="677"/>
      <c r="G1788" s="677"/>
      <c r="H1788" s="897"/>
      <c r="I1788" s="898"/>
      <c r="J1788" s="898"/>
      <c r="K1788" s="899"/>
      <c r="L1788" s="899"/>
      <c r="M1788" s="899"/>
      <c r="N1788" s="899"/>
      <c r="O1788" s="899"/>
      <c r="P1788" s="899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96"/>
      <c r="E1789" s="677"/>
      <c r="F1789" s="677"/>
      <c r="G1789" s="677"/>
      <c r="H1789" s="897"/>
      <c r="I1789" s="898"/>
      <c r="J1789" s="898"/>
      <c r="K1789" s="899"/>
      <c r="L1789" s="899"/>
      <c r="M1789" s="899"/>
      <c r="N1789" s="899"/>
      <c r="O1789" s="899"/>
      <c r="P1789" s="899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96"/>
      <c r="E1790" s="677"/>
      <c r="F1790" s="677"/>
      <c r="G1790" s="677"/>
      <c r="H1790" s="897"/>
      <c r="I1790" s="898"/>
      <c r="J1790" s="898"/>
      <c r="K1790" s="899"/>
      <c r="L1790" s="899"/>
      <c r="M1790" s="899"/>
      <c r="N1790" s="899"/>
      <c r="O1790" s="899"/>
      <c r="P1790" s="899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96"/>
      <c r="E1791" s="677"/>
      <c r="F1791" s="677"/>
      <c r="G1791" s="677"/>
      <c r="H1791" s="897"/>
      <c r="I1791" s="898"/>
      <c r="J1791" s="898"/>
      <c r="K1791" s="899"/>
      <c r="L1791" s="899"/>
      <c r="M1791" s="899"/>
      <c r="N1791" s="899"/>
      <c r="O1791" s="899"/>
      <c r="P1791" s="899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96"/>
      <c r="E1792" s="677"/>
      <c r="F1792" s="677"/>
      <c r="G1792" s="677"/>
      <c r="H1792" s="897"/>
      <c r="I1792" s="898"/>
      <c r="J1792" s="898"/>
      <c r="K1792" s="899"/>
      <c r="L1792" s="899"/>
      <c r="M1792" s="899"/>
      <c r="N1792" s="899"/>
      <c r="O1792" s="899"/>
      <c r="P1792" s="899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96"/>
      <c r="E1793" s="677"/>
      <c r="F1793" s="677"/>
      <c r="G1793" s="677"/>
      <c r="H1793" s="897"/>
      <c r="I1793" s="898"/>
      <c r="J1793" s="898"/>
      <c r="K1793" s="899"/>
      <c r="L1793" s="899"/>
      <c r="M1793" s="899"/>
      <c r="N1793" s="899"/>
      <c r="O1793" s="899"/>
      <c r="P1793" s="899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96"/>
      <c r="E1794" s="677"/>
      <c r="F1794" s="677"/>
      <c r="G1794" s="677"/>
      <c r="H1794" s="897"/>
      <c r="I1794" s="898"/>
      <c r="J1794" s="898"/>
      <c r="K1794" s="899"/>
      <c r="L1794" s="899"/>
      <c r="M1794" s="899"/>
      <c r="N1794" s="899"/>
      <c r="O1794" s="899"/>
      <c r="P1794" s="899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96"/>
      <c r="E1795" s="677"/>
      <c r="F1795" s="677"/>
      <c r="G1795" s="677"/>
      <c r="H1795" s="897"/>
      <c r="I1795" s="898"/>
      <c r="J1795" s="898"/>
      <c r="K1795" s="899"/>
      <c r="L1795" s="899"/>
      <c r="M1795" s="899"/>
      <c r="N1795" s="899"/>
      <c r="O1795" s="899"/>
      <c r="P1795" s="899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96"/>
      <c r="E1796" s="677"/>
      <c r="F1796" s="677"/>
      <c r="G1796" s="677"/>
      <c r="H1796" s="897"/>
      <c r="I1796" s="898"/>
      <c r="J1796" s="898"/>
      <c r="K1796" s="899"/>
      <c r="L1796" s="899"/>
      <c r="M1796" s="899"/>
      <c r="N1796" s="899"/>
      <c r="O1796" s="899"/>
      <c r="P1796" s="899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96"/>
      <c r="E1797" s="677"/>
      <c r="F1797" s="677"/>
      <c r="G1797" s="677"/>
      <c r="H1797" s="897"/>
      <c r="I1797" s="898"/>
      <c r="J1797" s="898"/>
      <c r="K1797" s="899"/>
      <c r="L1797" s="899"/>
      <c r="M1797" s="899"/>
      <c r="N1797" s="899"/>
      <c r="O1797" s="899"/>
      <c r="P1797" s="899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96"/>
      <c r="E1798" s="677"/>
      <c r="F1798" s="677"/>
      <c r="G1798" s="677"/>
      <c r="H1798" s="897"/>
      <c r="I1798" s="898"/>
      <c r="J1798" s="898"/>
      <c r="K1798" s="899"/>
      <c r="L1798" s="899"/>
      <c r="M1798" s="899"/>
      <c r="N1798" s="899"/>
      <c r="O1798" s="899"/>
      <c r="P1798" s="899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96"/>
      <c r="E1799" s="677"/>
      <c r="F1799" s="677"/>
      <c r="G1799" s="677"/>
      <c r="H1799" s="897"/>
      <c r="I1799" s="898"/>
      <c r="J1799" s="898"/>
      <c r="K1799" s="899"/>
      <c r="L1799" s="899"/>
      <c r="M1799" s="899"/>
      <c r="N1799" s="899"/>
      <c r="O1799" s="899"/>
      <c r="P1799" s="899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96"/>
      <c r="E1800" s="677"/>
      <c r="F1800" s="677"/>
      <c r="G1800" s="677"/>
      <c r="H1800" s="897"/>
      <c r="I1800" s="898"/>
      <c r="J1800" s="898"/>
      <c r="K1800" s="899"/>
      <c r="L1800" s="899"/>
      <c r="M1800" s="899"/>
      <c r="N1800" s="899"/>
      <c r="O1800" s="899"/>
      <c r="P1800" s="899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96"/>
      <c r="E1801" s="677"/>
      <c r="F1801" s="677"/>
      <c r="G1801" s="677"/>
      <c r="H1801" s="897"/>
      <c r="I1801" s="898"/>
      <c r="J1801" s="898"/>
      <c r="K1801" s="899"/>
      <c r="L1801" s="899"/>
      <c r="M1801" s="899"/>
      <c r="N1801" s="899"/>
      <c r="O1801" s="899"/>
      <c r="P1801" s="899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96"/>
      <c r="E1802" s="677"/>
      <c r="F1802" s="677"/>
      <c r="G1802" s="677"/>
      <c r="H1802" s="897"/>
      <c r="I1802" s="898"/>
      <c r="J1802" s="898"/>
      <c r="K1802" s="899"/>
      <c r="L1802" s="899"/>
      <c r="M1802" s="899"/>
      <c r="N1802" s="899"/>
      <c r="O1802" s="899"/>
      <c r="P1802" s="899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96"/>
      <c r="E1803" s="677"/>
      <c r="F1803" s="677"/>
      <c r="G1803" s="677"/>
      <c r="H1803" s="897"/>
      <c r="I1803" s="898"/>
      <c r="J1803" s="898"/>
      <c r="K1803" s="899"/>
      <c r="L1803" s="899"/>
      <c r="M1803" s="899"/>
      <c r="N1803" s="899"/>
      <c r="O1803" s="899"/>
      <c r="P1803" s="899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96"/>
      <c r="E1804" s="677"/>
      <c r="F1804" s="677"/>
      <c r="G1804" s="677"/>
      <c r="H1804" s="897"/>
      <c r="I1804" s="898"/>
      <c r="J1804" s="898"/>
      <c r="K1804" s="899"/>
      <c r="L1804" s="899"/>
      <c r="M1804" s="899"/>
      <c r="N1804" s="899"/>
      <c r="O1804" s="899"/>
      <c r="P1804" s="899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96"/>
      <c r="E1805" s="677"/>
      <c r="F1805" s="677"/>
      <c r="G1805" s="677"/>
      <c r="H1805" s="897"/>
      <c r="I1805" s="898"/>
      <c r="J1805" s="898"/>
      <c r="K1805" s="899"/>
      <c r="L1805" s="899"/>
      <c r="M1805" s="899"/>
      <c r="N1805" s="899"/>
      <c r="O1805" s="899"/>
      <c r="P1805" s="899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96"/>
      <c r="E1806" s="677"/>
      <c r="F1806" s="677"/>
      <c r="G1806" s="677"/>
      <c r="H1806" s="897"/>
      <c r="I1806" s="898"/>
      <c r="J1806" s="898"/>
      <c r="K1806" s="899"/>
      <c r="L1806" s="899"/>
      <c r="M1806" s="899"/>
      <c r="N1806" s="899"/>
      <c r="O1806" s="899"/>
      <c r="P1806" s="899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96"/>
      <c r="E1807" s="677"/>
      <c r="F1807" s="677"/>
      <c r="G1807" s="677"/>
      <c r="H1807" s="897"/>
      <c r="I1807" s="898"/>
      <c r="J1807" s="898"/>
      <c r="K1807" s="899"/>
      <c r="L1807" s="899"/>
      <c r="M1807" s="899"/>
      <c r="N1807" s="899"/>
      <c r="O1807" s="899"/>
      <c r="P1807" s="899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96"/>
      <c r="E1808" s="677"/>
      <c r="F1808" s="677"/>
      <c r="G1808" s="677"/>
      <c r="H1808" s="897"/>
      <c r="I1808" s="898"/>
      <c r="J1808" s="898"/>
      <c r="K1808" s="899"/>
      <c r="L1808" s="899"/>
      <c r="M1808" s="899"/>
      <c r="N1808" s="899"/>
      <c r="O1808" s="899"/>
      <c r="P1808" s="899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96"/>
      <c r="E1809" s="677"/>
      <c r="F1809" s="677"/>
      <c r="G1809" s="677"/>
      <c r="H1809" s="897"/>
      <c r="I1809" s="898"/>
      <c r="J1809" s="898"/>
      <c r="K1809" s="899"/>
      <c r="L1809" s="899"/>
      <c r="M1809" s="899"/>
      <c r="N1809" s="899"/>
      <c r="O1809" s="899"/>
      <c r="P1809" s="899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96"/>
      <c r="E1810" s="677"/>
      <c r="F1810" s="677"/>
      <c r="G1810" s="677"/>
      <c r="H1810" s="897"/>
      <c r="I1810" s="898"/>
      <c r="J1810" s="898"/>
      <c r="K1810" s="899"/>
      <c r="L1810" s="899"/>
      <c r="M1810" s="899"/>
      <c r="N1810" s="899"/>
      <c r="O1810" s="899"/>
      <c r="P1810" s="899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96"/>
      <c r="E1811" s="677"/>
      <c r="F1811" s="677"/>
      <c r="G1811" s="677"/>
      <c r="H1811" s="897"/>
      <c r="I1811" s="898"/>
      <c r="J1811" s="898"/>
      <c r="K1811" s="899"/>
      <c r="L1811" s="899"/>
      <c r="M1811" s="899"/>
      <c r="N1811" s="899"/>
      <c r="O1811" s="899"/>
      <c r="P1811" s="899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96"/>
      <c r="E1812" s="677"/>
      <c r="F1812" s="677"/>
      <c r="G1812" s="677"/>
      <c r="H1812" s="897"/>
      <c r="I1812" s="898"/>
      <c r="J1812" s="898"/>
      <c r="K1812" s="899"/>
      <c r="L1812" s="899"/>
      <c r="M1812" s="899"/>
      <c r="N1812" s="899"/>
      <c r="O1812" s="899"/>
      <c r="P1812" s="899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96"/>
      <c r="E1813" s="677"/>
      <c r="F1813" s="677"/>
      <c r="G1813" s="677"/>
      <c r="H1813" s="897"/>
      <c r="I1813" s="898"/>
      <c r="J1813" s="898"/>
      <c r="K1813" s="899"/>
      <c r="L1813" s="899"/>
      <c r="M1813" s="899"/>
      <c r="N1813" s="899"/>
      <c r="O1813" s="899"/>
      <c r="P1813" s="899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96"/>
      <c r="E1814" s="677"/>
      <c r="F1814" s="677"/>
      <c r="G1814" s="677"/>
      <c r="H1814" s="897"/>
      <c r="I1814" s="898"/>
      <c r="J1814" s="898"/>
      <c r="K1814" s="899"/>
      <c r="L1814" s="899"/>
      <c r="M1814" s="899"/>
      <c r="N1814" s="899"/>
      <c r="O1814" s="899"/>
      <c r="P1814" s="899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96"/>
      <c r="E1815" s="677"/>
      <c r="F1815" s="677"/>
      <c r="G1815" s="677"/>
      <c r="H1815" s="897"/>
      <c r="I1815" s="898"/>
      <c r="J1815" s="898"/>
      <c r="K1815" s="899"/>
      <c r="L1815" s="899"/>
      <c r="M1815" s="899"/>
      <c r="N1815" s="899"/>
      <c r="O1815" s="899"/>
      <c r="P1815" s="899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96"/>
      <c r="E1816" s="677"/>
      <c r="F1816" s="677"/>
      <c r="G1816" s="677"/>
      <c r="H1816" s="897"/>
      <c r="I1816" s="898"/>
      <c r="J1816" s="898"/>
      <c r="K1816" s="899"/>
      <c r="L1816" s="899"/>
      <c r="M1816" s="899"/>
      <c r="N1816" s="899"/>
      <c r="O1816" s="899"/>
      <c r="P1816" s="899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96"/>
      <c r="E1817" s="677"/>
      <c r="F1817" s="677"/>
      <c r="G1817" s="677"/>
      <c r="H1817" s="897"/>
      <c r="I1817" s="898"/>
      <c r="J1817" s="898"/>
      <c r="K1817" s="899"/>
      <c r="L1817" s="899"/>
      <c r="M1817" s="899"/>
      <c r="N1817" s="899"/>
      <c r="O1817" s="899"/>
      <c r="P1817" s="899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96"/>
      <c r="E1818" s="677"/>
      <c r="F1818" s="677"/>
      <c r="G1818" s="677"/>
      <c r="H1818" s="897"/>
      <c r="I1818" s="898"/>
      <c r="J1818" s="898"/>
      <c r="K1818" s="899"/>
      <c r="L1818" s="899"/>
      <c r="M1818" s="899"/>
      <c r="N1818" s="899"/>
      <c r="O1818" s="899"/>
      <c r="P1818" s="899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96"/>
      <c r="E1819" s="677"/>
      <c r="F1819" s="677"/>
      <c r="G1819" s="677"/>
      <c r="H1819" s="897"/>
      <c r="I1819" s="898"/>
      <c r="J1819" s="898"/>
      <c r="K1819" s="899"/>
      <c r="L1819" s="899"/>
      <c r="M1819" s="899"/>
      <c r="N1819" s="899"/>
      <c r="O1819" s="899"/>
      <c r="P1819" s="899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96"/>
      <c r="E1820" s="677"/>
      <c r="F1820" s="677"/>
      <c r="G1820" s="677"/>
      <c r="H1820" s="897"/>
      <c r="I1820" s="898"/>
      <c r="J1820" s="898"/>
      <c r="K1820" s="899"/>
      <c r="L1820" s="899"/>
      <c r="M1820" s="899"/>
      <c r="N1820" s="899"/>
      <c r="O1820" s="899"/>
      <c r="P1820" s="899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96"/>
      <c r="E1821" s="677"/>
      <c r="F1821" s="677"/>
      <c r="G1821" s="677"/>
      <c r="H1821" s="897"/>
      <c r="I1821" s="898"/>
      <c r="J1821" s="898"/>
      <c r="K1821" s="899"/>
      <c r="L1821" s="899"/>
      <c r="M1821" s="899"/>
      <c r="N1821" s="899"/>
      <c r="O1821" s="899"/>
      <c r="P1821" s="899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96"/>
      <c r="E1822" s="677"/>
      <c r="F1822" s="677"/>
      <c r="G1822" s="677"/>
      <c r="H1822" s="897"/>
      <c r="I1822" s="898"/>
      <c r="J1822" s="898"/>
      <c r="K1822" s="899"/>
      <c r="L1822" s="899"/>
      <c r="M1822" s="899"/>
      <c r="N1822" s="899"/>
      <c r="O1822" s="899"/>
      <c r="P1822" s="899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96"/>
      <c r="E1823" s="677"/>
      <c r="F1823" s="677"/>
      <c r="G1823" s="677"/>
      <c r="H1823" s="897"/>
      <c r="I1823" s="898"/>
      <c r="J1823" s="898"/>
      <c r="K1823" s="899"/>
      <c r="L1823" s="899"/>
      <c r="M1823" s="899"/>
      <c r="N1823" s="899"/>
      <c r="O1823" s="899"/>
      <c r="P1823" s="899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96"/>
      <c r="E1824" s="677"/>
      <c r="F1824" s="677"/>
      <c r="G1824" s="677"/>
      <c r="H1824" s="897"/>
      <c r="I1824" s="898"/>
      <c r="J1824" s="898"/>
      <c r="K1824" s="899"/>
      <c r="L1824" s="899"/>
      <c r="M1824" s="899"/>
      <c r="N1824" s="899"/>
      <c r="O1824" s="899"/>
      <c r="P1824" s="899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96"/>
      <c r="E1825" s="677"/>
      <c r="F1825" s="677"/>
      <c r="G1825" s="677"/>
      <c r="H1825" s="897"/>
      <c r="I1825" s="898"/>
      <c r="J1825" s="898"/>
      <c r="K1825" s="899"/>
      <c r="L1825" s="899"/>
      <c r="M1825" s="899"/>
      <c r="N1825" s="899"/>
      <c r="O1825" s="899"/>
      <c r="P1825" s="899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96"/>
      <c r="E1826" s="677"/>
      <c r="F1826" s="677"/>
      <c r="G1826" s="677"/>
      <c r="H1826" s="897"/>
      <c r="I1826" s="898"/>
      <c r="J1826" s="898"/>
      <c r="K1826" s="899"/>
      <c r="L1826" s="899"/>
      <c r="M1826" s="899"/>
      <c r="N1826" s="899"/>
      <c r="O1826" s="899"/>
      <c r="P1826" s="899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96"/>
      <c r="E1827" s="677"/>
      <c r="F1827" s="677"/>
      <c r="G1827" s="677"/>
      <c r="H1827" s="897"/>
      <c r="I1827" s="898"/>
      <c r="J1827" s="898"/>
      <c r="K1827" s="899"/>
      <c r="L1827" s="899"/>
      <c r="M1827" s="899"/>
      <c r="N1827" s="899"/>
      <c r="O1827" s="899"/>
      <c r="P1827" s="899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96"/>
      <c r="E1828" s="677"/>
      <c r="F1828" s="677"/>
      <c r="G1828" s="677"/>
      <c r="H1828" s="897"/>
      <c r="I1828" s="898"/>
      <c r="J1828" s="898"/>
      <c r="K1828" s="899"/>
      <c r="L1828" s="899"/>
      <c r="M1828" s="899"/>
      <c r="N1828" s="899"/>
      <c r="O1828" s="899"/>
      <c r="P1828" s="899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  <row r="1829" spans="1:26" ht="18.75">
      <c r="A1829" s="677"/>
      <c r="B1829" s="677"/>
      <c r="C1829" s="677"/>
      <c r="D1829" s="896"/>
      <c r="E1829" s="677"/>
      <c r="F1829" s="677"/>
      <c r="G1829" s="677"/>
      <c r="H1829" s="897"/>
      <c r="I1829" s="898"/>
      <c r="J1829" s="898"/>
      <c r="K1829" s="899"/>
      <c r="L1829" s="899"/>
      <c r="M1829" s="899"/>
      <c r="N1829" s="899"/>
      <c r="O1829" s="899"/>
      <c r="P1829" s="899"/>
      <c r="Q1829" s="573"/>
      <c r="R1829" s="573"/>
      <c r="S1829" s="573"/>
      <c r="T1829" s="573"/>
      <c r="U1829" s="573"/>
      <c r="V1829" s="573"/>
      <c r="W1829" s="573"/>
      <c r="X1829" s="573"/>
      <c r="Y1829" s="573"/>
      <c r="Z1829" s="573"/>
    </row>
    <row r="1830" spans="1:26" ht="18.75">
      <c r="A1830" s="677"/>
      <c r="B1830" s="677"/>
      <c r="C1830" s="677"/>
      <c r="D1830" s="896"/>
      <c r="E1830" s="677"/>
      <c r="F1830" s="677"/>
      <c r="G1830" s="677"/>
      <c r="H1830" s="897"/>
      <c r="I1830" s="898"/>
      <c r="J1830" s="898"/>
      <c r="K1830" s="899"/>
      <c r="L1830" s="899"/>
      <c r="M1830" s="899"/>
      <c r="N1830" s="899"/>
      <c r="O1830" s="899"/>
      <c r="P1830" s="899"/>
      <c r="Q1830" s="573"/>
      <c r="R1830" s="573"/>
      <c r="S1830" s="573"/>
      <c r="T1830" s="573"/>
      <c r="U1830" s="573"/>
      <c r="V1830" s="573"/>
      <c r="W1830" s="573"/>
      <c r="X1830" s="573"/>
      <c r="Y1830" s="573"/>
      <c r="Z1830" s="573"/>
    </row>
    <row r="1831" spans="1:26" ht="18.75">
      <c r="A1831" s="677"/>
      <c r="B1831" s="677"/>
      <c r="C1831" s="677"/>
      <c r="D1831" s="896"/>
      <c r="E1831" s="677"/>
      <c r="F1831" s="677"/>
      <c r="G1831" s="677"/>
      <c r="H1831" s="897"/>
      <c r="I1831" s="898"/>
      <c r="J1831" s="898"/>
      <c r="K1831" s="899"/>
      <c r="L1831" s="899"/>
      <c r="M1831" s="899"/>
      <c r="N1831" s="899"/>
      <c r="O1831" s="899"/>
      <c r="P1831" s="899"/>
      <c r="Q1831" s="573"/>
      <c r="R1831" s="573"/>
      <c r="S1831" s="573"/>
      <c r="T1831" s="573"/>
      <c r="U1831" s="573"/>
      <c r="V1831" s="573"/>
      <c r="W1831" s="573"/>
      <c r="X1831" s="573"/>
      <c r="Y1831" s="573"/>
      <c r="Z1831" s="573"/>
    </row>
    <row r="1832" spans="1:26" ht="18.75">
      <c r="A1832" s="677"/>
      <c r="B1832" s="677"/>
      <c r="C1832" s="677"/>
      <c r="D1832" s="896"/>
      <c r="E1832" s="677"/>
      <c r="F1832" s="677"/>
      <c r="G1832" s="677"/>
      <c r="H1832" s="897"/>
      <c r="I1832" s="898"/>
      <c r="J1832" s="898"/>
      <c r="K1832" s="899"/>
      <c r="L1832" s="899"/>
      <c r="M1832" s="899"/>
      <c r="N1832" s="899"/>
      <c r="O1832" s="899"/>
      <c r="P1832" s="899"/>
      <c r="Q1832" s="573"/>
      <c r="R1832" s="573"/>
      <c r="S1832" s="573"/>
      <c r="T1832" s="573"/>
      <c r="U1832" s="573"/>
      <c r="V1832" s="573"/>
      <c r="W1832" s="573"/>
      <c r="X1832" s="573"/>
      <c r="Y1832" s="573"/>
      <c r="Z1832" s="573"/>
    </row>
    <row r="1833" spans="1:26" ht="18.75">
      <c r="A1833" s="677"/>
      <c r="B1833" s="677"/>
      <c r="C1833" s="677"/>
      <c r="D1833" s="896"/>
      <c r="E1833" s="677"/>
      <c r="F1833" s="677"/>
      <c r="G1833" s="677"/>
      <c r="H1833" s="897"/>
      <c r="I1833" s="898"/>
      <c r="J1833" s="898"/>
      <c r="K1833" s="899"/>
      <c r="L1833" s="899"/>
      <c r="M1833" s="899"/>
      <c r="N1833" s="899"/>
      <c r="O1833" s="899"/>
      <c r="P1833" s="899"/>
      <c r="Q1833" s="573"/>
      <c r="R1833" s="573"/>
      <c r="S1833" s="573"/>
      <c r="T1833" s="573"/>
      <c r="U1833" s="573"/>
      <c r="V1833" s="573"/>
      <c r="W1833" s="573"/>
      <c r="X1833" s="573"/>
      <c r="Y1833" s="573"/>
      <c r="Z1833" s="573"/>
    </row>
    <row r="1834" spans="1:26" ht="18.75">
      <c r="A1834" s="677"/>
      <c r="B1834" s="677"/>
      <c r="C1834" s="677"/>
      <c r="D1834" s="896"/>
      <c r="E1834" s="677"/>
      <c r="F1834" s="677"/>
      <c r="G1834" s="677"/>
      <c r="H1834" s="897"/>
      <c r="I1834" s="898"/>
      <c r="J1834" s="898"/>
      <c r="K1834" s="899"/>
      <c r="L1834" s="899"/>
      <c r="M1834" s="899"/>
      <c r="N1834" s="899"/>
      <c r="O1834" s="899"/>
      <c r="P1834" s="899"/>
      <c r="Q1834" s="573"/>
      <c r="R1834" s="573"/>
      <c r="S1834" s="573"/>
      <c r="T1834" s="573"/>
      <c r="U1834" s="573"/>
      <c r="V1834" s="573"/>
      <c r="W1834" s="573"/>
      <c r="X1834" s="573"/>
      <c r="Y1834" s="573"/>
      <c r="Z1834" s="573"/>
    </row>
    <row r="1835" spans="1:26" ht="18.75">
      <c r="A1835" s="677"/>
      <c r="B1835" s="677"/>
      <c r="C1835" s="677"/>
      <c r="D1835" s="896"/>
      <c r="E1835" s="677"/>
      <c r="F1835" s="677"/>
      <c r="G1835" s="677"/>
      <c r="H1835" s="897"/>
      <c r="I1835" s="898"/>
      <c r="J1835" s="898"/>
      <c r="K1835" s="899"/>
      <c r="L1835" s="899"/>
      <c r="M1835" s="899"/>
      <c r="N1835" s="899"/>
      <c r="O1835" s="899"/>
      <c r="P1835" s="899"/>
      <c r="Q1835" s="573"/>
      <c r="R1835" s="573"/>
      <c r="S1835" s="573"/>
      <c r="T1835" s="573"/>
      <c r="U1835" s="573"/>
      <c r="V1835" s="573"/>
      <c r="W1835" s="573"/>
      <c r="X1835" s="573"/>
      <c r="Y1835" s="573"/>
      <c r="Z1835" s="573"/>
    </row>
    <row r="1836" spans="1:26" ht="18.75">
      <c r="A1836" s="677"/>
      <c r="B1836" s="677"/>
      <c r="C1836" s="677"/>
      <c r="D1836" s="896"/>
      <c r="E1836" s="677"/>
      <c r="F1836" s="677"/>
      <c r="G1836" s="677"/>
      <c r="H1836" s="897"/>
      <c r="I1836" s="898"/>
      <c r="J1836" s="898"/>
      <c r="K1836" s="899"/>
      <c r="L1836" s="899"/>
      <c r="M1836" s="899"/>
      <c r="N1836" s="899"/>
      <c r="O1836" s="899"/>
      <c r="P1836" s="899"/>
      <c r="Q1836" s="573"/>
      <c r="R1836" s="573"/>
      <c r="S1836" s="573"/>
      <c r="T1836" s="573"/>
      <c r="U1836" s="573"/>
      <c r="V1836" s="573"/>
      <c r="W1836" s="573"/>
      <c r="X1836" s="573"/>
      <c r="Y1836" s="573"/>
      <c r="Z1836" s="573"/>
    </row>
    <row r="1837" spans="1:26" ht="18.75">
      <c r="A1837" s="677"/>
      <c r="B1837" s="677"/>
      <c r="C1837" s="677"/>
      <c r="D1837" s="896"/>
      <c r="E1837" s="677"/>
      <c r="F1837" s="677"/>
      <c r="G1837" s="677"/>
      <c r="H1837" s="897"/>
      <c r="I1837" s="898"/>
      <c r="J1837" s="898"/>
      <c r="K1837" s="899"/>
      <c r="L1837" s="899"/>
      <c r="M1837" s="899"/>
      <c r="N1837" s="899"/>
      <c r="O1837" s="899"/>
      <c r="P1837" s="899"/>
      <c r="Q1837" s="573"/>
      <c r="R1837" s="573"/>
      <c r="S1837" s="573"/>
      <c r="T1837" s="573"/>
      <c r="U1837" s="573"/>
      <c r="V1837" s="573"/>
      <c r="W1837" s="573"/>
      <c r="X1837" s="573"/>
      <c r="Y1837" s="573"/>
      <c r="Z1837" s="573"/>
    </row>
    <row r="1838" spans="1:26" ht="18.75">
      <c r="A1838" s="677"/>
      <c r="B1838" s="677"/>
      <c r="C1838" s="677"/>
      <c r="D1838" s="896"/>
      <c r="E1838" s="677"/>
      <c r="F1838" s="677"/>
      <c r="G1838" s="677"/>
      <c r="H1838" s="897"/>
      <c r="I1838" s="898"/>
      <c r="J1838" s="898"/>
      <c r="K1838" s="899"/>
      <c r="L1838" s="899"/>
      <c r="M1838" s="899"/>
      <c r="N1838" s="899"/>
      <c r="O1838" s="899"/>
      <c r="P1838" s="899"/>
      <c r="Q1838" s="573"/>
      <c r="R1838" s="573"/>
      <c r="S1838" s="573"/>
      <c r="T1838" s="573"/>
      <c r="U1838" s="573"/>
      <c r="V1838" s="573"/>
      <c r="W1838" s="573"/>
      <c r="X1838" s="573"/>
      <c r="Y1838" s="573"/>
      <c r="Z1838" s="573"/>
    </row>
    <row r="1839" spans="1:26" ht="18.75">
      <c r="A1839" s="677"/>
      <c r="B1839" s="677"/>
      <c r="C1839" s="677"/>
      <c r="D1839" s="896"/>
      <c r="E1839" s="677"/>
      <c r="F1839" s="677"/>
      <c r="G1839" s="677"/>
      <c r="H1839" s="897"/>
      <c r="I1839" s="898"/>
      <c r="J1839" s="898"/>
      <c r="K1839" s="899"/>
      <c r="L1839" s="899"/>
      <c r="M1839" s="899"/>
      <c r="N1839" s="899"/>
      <c r="O1839" s="899"/>
      <c r="P1839" s="899"/>
      <c r="Q1839" s="573"/>
      <c r="R1839" s="573"/>
      <c r="S1839" s="573"/>
      <c r="T1839" s="573"/>
      <c r="U1839" s="573"/>
      <c r="V1839" s="573"/>
      <c r="W1839" s="573"/>
      <c r="X1839" s="573"/>
      <c r="Y1839" s="573"/>
      <c r="Z1839" s="573"/>
    </row>
    <row r="1840" spans="1:26" ht="18.75">
      <c r="A1840" s="677"/>
      <c r="B1840" s="677"/>
      <c r="C1840" s="677"/>
      <c r="D1840" s="896"/>
      <c r="E1840" s="677"/>
      <c r="F1840" s="677"/>
      <c r="G1840" s="677"/>
      <c r="H1840" s="897"/>
      <c r="I1840" s="898"/>
      <c r="J1840" s="898"/>
      <c r="K1840" s="899"/>
      <c r="L1840" s="899"/>
      <c r="M1840" s="899"/>
      <c r="N1840" s="899"/>
      <c r="O1840" s="899"/>
      <c r="P1840" s="899"/>
      <c r="Q1840" s="573"/>
      <c r="R1840" s="573"/>
      <c r="S1840" s="573"/>
      <c r="T1840" s="573"/>
      <c r="U1840" s="573"/>
      <c r="V1840" s="573"/>
      <c r="W1840" s="573"/>
      <c r="X1840" s="573"/>
      <c r="Y1840" s="573"/>
      <c r="Z1840" s="573"/>
    </row>
    <row r="1841" spans="1:26" ht="18.75">
      <c r="A1841" s="677"/>
      <c r="B1841" s="677"/>
      <c r="C1841" s="677"/>
      <c r="D1841" s="896"/>
      <c r="E1841" s="677"/>
      <c r="F1841" s="677"/>
      <c r="G1841" s="677"/>
      <c r="H1841" s="897"/>
      <c r="I1841" s="898"/>
      <c r="J1841" s="898"/>
      <c r="K1841" s="899"/>
      <c r="L1841" s="899"/>
      <c r="M1841" s="899"/>
      <c r="N1841" s="899"/>
      <c r="O1841" s="899"/>
      <c r="P1841" s="899"/>
      <c r="Q1841" s="573"/>
      <c r="R1841" s="573"/>
      <c r="S1841" s="573"/>
      <c r="T1841" s="573"/>
      <c r="U1841" s="573"/>
      <c r="V1841" s="573"/>
      <c r="W1841" s="573"/>
      <c r="X1841" s="573"/>
      <c r="Y1841" s="573"/>
      <c r="Z1841" s="573"/>
    </row>
    <row r="1842" spans="1:26" ht="18.75">
      <c r="A1842" s="677"/>
      <c r="B1842" s="677"/>
      <c r="C1842" s="677"/>
      <c r="D1842" s="896"/>
      <c r="E1842" s="677"/>
      <c r="F1842" s="677"/>
      <c r="G1842" s="677"/>
      <c r="H1842" s="897"/>
      <c r="I1842" s="898"/>
      <c r="J1842" s="898"/>
      <c r="K1842" s="899"/>
      <c r="L1842" s="899"/>
      <c r="M1842" s="899"/>
      <c r="N1842" s="899"/>
      <c r="O1842" s="899"/>
      <c r="P1842" s="899"/>
      <c r="Q1842" s="573"/>
      <c r="R1842" s="573"/>
      <c r="S1842" s="573"/>
      <c r="T1842" s="573"/>
      <c r="U1842" s="573"/>
      <c r="V1842" s="573"/>
      <c r="W1842" s="573"/>
      <c r="X1842" s="573"/>
      <c r="Y1842" s="573"/>
      <c r="Z1842" s="573"/>
    </row>
    <row r="1843" spans="1:26" ht="18.75">
      <c r="A1843" s="677"/>
      <c r="B1843" s="677"/>
      <c r="C1843" s="677"/>
      <c r="D1843" s="896"/>
      <c r="E1843" s="677"/>
      <c r="F1843" s="677"/>
      <c r="G1843" s="677"/>
      <c r="H1843" s="897"/>
      <c r="I1843" s="898"/>
      <c r="J1843" s="898"/>
      <c r="K1843" s="899"/>
      <c r="L1843" s="899"/>
      <c r="M1843" s="899"/>
      <c r="N1843" s="899"/>
      <c r="O1843" s="899"/>
      <c r="P1843" s="899"/>
      <c r="Q1843" s="573"/>
      <c r="R1843" s="573"/>
      <c r="S1843" s="573"/>
      <c r="T1843" s="573"/>
      <c r="U1843" s="573"/>
      <c r="V1843" s="573"/>
      <c r="W1843" s="573"/>
      <c r="X1843" s="573"/>
      <c r="Y1843" s="573"/>
      <c r="Z1843" s="573"/>
    </row>
    <row r="1844" spans="1:26" ht="18.75">
      <c r="A1844" s="677"/>
      <c r="B1844" s="677"/>
      <c r="C1844" s="677"/>
      <c r="D1844" s="896"/>
      <c r="E1844" s="677"/>
      <c r="F1844" s="677"/>
      <c r="G1844" s="677"/>
      <c r="H1844" s="897"/>
      <c r="I1844" s="898"/>
      <c r="J1844" s="898"/>
      <c r="K1844" s="899"/>
      <c r="L1844" s="899"/>
      <c r="M1844" s="899"/>
      <c r="N1844" s="899"/>
      <c r="O1844" s="899"/>
      <c r="P1844" s="899"/>
      <c r="Q1844" s="573"/>
      <c r="R1844" s="573"/>
      <c r="S1844" s="573"/>
      <c r="T1844" s="573"/>
      <c r="U1844" s="573"/>
      <c r="V1844" s="573"/>
      <c r="W1844" s="573"/>
      <c r="X1844" s="573"/>
      <c r="Y1844" s="573"/>
      <c r="Z1844" s="573"/>
    </row>
    <row r="1845" spans="1:26" ht="18.75">
      <c r="A1845" s="677"/>
      <c r="B1845" s="677"/>
      <c r="C1845" s="677"/>
      <c r="D1845" s="896"/>
      <c r="E1845" s="677"/>
      <c r="F1845" s="677"/>
      <c r="G1845" s="677"/>
      <c r="H1845" s="897"/>
      <c r="I1845" s="898"/>
      <c r="J1845" s="898"/>
      <c r="K1845" s="899"/>
      <c r="L1845" s="899"/>
      <c r="M1845" s="899"/>
      <c r="N1845" s="899"/>
      <c r="O1845" s="899"/>
      <c r="P1845" s="899"/>
      <c r="Q1845" s="573"/>
      <c r="R1845" s="573"/>
      <c r="S1845" s="573"/>
      <c r="T1845" s="573"/>
      <c r="U1845" s="573"/>
      <c r="V1845" s="573"/>
      <c r="W1845" s="573"/>
      <c r="X1845" s="573"/>
      <c r="Y1845" s="573"/>
      <c r="Z1845" s="573"/>
    </row>
    <row r="1846" spans="1:26" ht="18.75">
      <c r="A1846" s="677"/>
      <c r="B1846" s="677"/>
      <c r="C1846" s="677"/>
      <c r="D1846" s="896"/>
      <c r="E1846" s="677"/>
      <c r="F1846" s="677"/>
      <c r="G1846" s="677"/>
      <c r="H1846" s="897"/>
      <c r="I1846" s="898"/>
      <c r="J1846" s="898"/>
      <c r="K1846" s="899"/>
      <c r="L1846" s="899"/>
      <c r="M1846" s="899"/>
      <c r="N1846" s="899"/>
      <c r="O1846" s="899"/>
      <c r="P1846" s="899"/>
      <c r="Q1846" s="573"/>
      <c r="R1846" s="573"/>
      <c r="S1846" s="573"/>
      <c r="T1846" s="573"/>
      <c r="U1846" s="573"/>
      <c r="V1846" s="573"/>
      <c r="W1846" s="573"/>
      <c r="X1846" s="573"/>
      <c r="Y1846" s="573"/>
      <c r="Z1846" s="573"/>
    </row>
    <row r="1847" spans="1:26" ht="18.75">
      <c r="A1847" s="677"/>
      <c r="B1847" s="677"/>
      <c r="C1847" s="677"/>
      <c r="D1847" s="896"/>
      <c r="E1847" s="677"/>
      <c r="F1847" s="677"/>
      <c r="G1847" s="677"/>
      <c r="H1847" s="897"/>
      <c r="I1847" s="898"/>
      <c r="J1847" s="898"/>
      <c r="K1847" s="899"/>
      <c r="L1847" s="899"/>
      <c r="M1847" s="899"/>
      <c r="N1847" s="899"/>
      <c r="O1847" s="899"/>
      <c r="P1847" s="899"/>
      <c r="Q1847" s="573"/>
      <c r="R1847" s="573"/>
      <c r="S1847" s="573"/>
      <c r="T1847" s="573"/>
      <c r="U1847" s="573"/>
      <c r="V1847" s="573"/>
      <c r="W1847" s="573"/>
      <c r="X1847" s="573"/>
      <c r="Y1847" s="573"/>
      <c r="Z1847" s="573"/>
    </row>
    <row r="1848" spans="1:26" ht="18.75">
      <c r="A1848" s="677"/>
      <c r="B1848" s="677"/>
      <c r="C1848" s="677"/>
      <c r="D1848" s="896"/>
      <c r="E1848" s="677"/>
      <c r="F1848" s="677"/>
      <c r="G1848" s="677"/>
      <c r="H1848" s="897"/>
      <c r="I1848" s="898"/>
      <c r="J1848" s="898"/>
      <c r="K1848" s="899"/>
      <c r="L1848" s="899"/>
      <c r="M1848" s="899"/>
      <c r="N1848" s="899"/>
      <c r="O1848" s="899"/>
      <c r="P1848" s="899"/>
      <c r="Q1848" s="573"/>
      <c r="R1848" s="573"/>
      <c r="S1848" s="573"/>
      <c r="T1848" s="573"/>
      <c r="U1848" s="573"/>
      <c r="V1848" s="573"/>
      <c r="W1848" s="573"/>
      <c r="X1848" s="573"/>
      <c r="Y1848" s="573"/>
      <c r="Z1848" s="573"/>
    </row>
    <row r="1849" spans="1:26" ht="18.75">
      <c r="A1849" s="677"/>
      <c r="B1849" s="677"/>
      <c r="C1849" s="677"/>
      <c r="D1849" s="896"/>
      <c r="E1849" s="677"/>
      <c r="F1849" s="677"/>
      <c r="G1849" s="677"/>
      <c r="H1849" s="897"/>
      <c r="I1849" s="898"/>
      <c r="J1849" s="898"/>
      <c r="K1849" s="899"/>
      <c r="L1849" s="899"/>
      <c r="M1849" s="899"/>
      <c r="N1849" s="899"/>
      <c r="O1849" s="899"/>
      <c r="P1849" s="899"/>
      <c r="Q1849" s="573"/>
      <c r="R1849" s="573"/>
      <c r="S1849" s="573"/>
      <c r="T1849" s="573"/>
      <c r="U1849" s="573"/>
      <c r="V1849" s="573"/>
      <c r="W1849" s="573"/>
      <c r="X1849" s="573"/>
      <c r="Y1849" s="573"/>
      <c r="Z1849" s="573"/>
    </row>
    <row r="1850" spans="1:26" ht="18.75">
      <c r="A1850" s="677"/>
      <c r="B1850" s="677"/>
      <c r="C1850" s="677"/>
      <c r="D1850" s="896"/>
      <c r="E1850" s="677"/>
      <c r="F1850" s="677"/>
      <c r="G1850" s="677"/>
      <c r="H1850" s="897"/>
      <c r="I1850" s="898"/>
      <c r="J1850" s="898"/>
      <c r="K1850" s="899"/>
      <c r="L1850" s="899"/>
      <c r="M1850" s="899"/>
      <c r="N1850" s="899"/>
      <c r="O1850" s="899"/>
      <c r="P1850" s="899"/>
      <c r="Q1850" s="573"/>
      <c r="R1850" s="573"/>
      <c r="S1850" s="573"/>
      <c r="T1850" s="573"/>
      <c r="U1850" s="573"/>
      <c r="V1850" s="573"/>
      <c r="W1850" s="573"/>
      <c r="X1850" s="573"/>
      <c r="Y1850" s="573"/>
      <c r="Z1850" s="573"/>
    </row>
    <row r="1851" spans="1:26" ht="18.75">
      <c r="A1851" s="677"/>
      <c r="B1851" s="677"/>
      <c r="C1851" s="677"/>
      <c r="D1851" s="896"/>
      <c r="E1851" s="677"/>
      <c r="F1851" s="677"/>
      <c r="G1851" s="677"/>
      <c r="H1851" s="897"/>
      <c r="I1851" s="898"/>
      <c r="J1851" s="898"/>
      <c r="K1851" s="899"/>
      <c r="L1851" s="899"/>
      <c r="M1851" s="899"/>
      <c r="N1851" s="899"/>
      <c r="O1851" s="899"/>
      <c r="P1851" s="899"/>
      <c r="Q1851" s="573"/>
      <c r="R1851" s="573"/>
      <c r="S1851" s="573"/>
      <c r="T1851" s="573"/>
      <c r="U1851" s="573"/>
      <c r="V1851" s="573"/>
      <c r="W1851" s="573"/>
      <c r="X1851" s="573"/>
      <c r="Y1851" s="573"/>
      <c r="Z1851" s="573"/>
    </row>
    <row r="1852" spans="1:26" ht="18.75">
      <c r="A1852" s="677"/>
      <c r="B1852" s="677"/>
      <c r="C1852" s="677"/>
      <c r="D1852" s="896"/>
      <c r="E1852" s="677"/>
      <c r="F1852" s="677"/>
      <c r="G1852" s="677"/>
      <c r="H1852" s="897"/>
      <c r="I1852" s="898"/>
      <c r="J1852" s="898"/>
      <c r="K1852" s="899"/>
      <c r="L1852" s="899"/>
      <c r="M1852" s="899"/>
      <c r="N1852" s="899"/>
      <c r="O1852" s="899"/>
      <c r="P1852" s="899"/>
      <c r="Q1852" s="573"/>
      <c r="R1852" s="573"/>
      <c r="S1852" s="573"/>
      <c r="T1852" s="573"/>
      <c r="U1852" s="573"/>
      <c r="V1852" s="573"/>
      <c r="W1852" s="573"/>
      <c r="X1852" s="573"/>
      <c r="Y1852" s="573"/>
      <c r="Z1852" s="573"/>
    </row>
    <row r="1853" spans="1:26" ht="18.75">
      <c r="A1853" s="677"/>
      <c r="B1853" s="677"/>
      <c r="C1853" s="677"/>
      <c r="D1853" s="896"/>
      <c r="E1853" s="677"/>
      <c r="F1853" s="677"/>
      <c r="G1853" s="677"/>
      <c r="H1853" s="897"/>
      <c r="I1853" s="898"/>
      <c r="J1853" s="898"/>
      <c r="K1853" s="899"/>
      <c r="L1853" s="899"/>
      <c r="M1853" s="899"/>
      <c r="N1853" s="899"/>
      <c r="O1853" s="899"/>
      <c r="P1853" s="899"/>
      <c r="Q1853" s="573"/>
      <c r="R1853" s="573"/>
      <c r="S1853" s="573"/>
      <c r="T1853" s="573"/>
      <c r="U1853" s="573"/>
      <c r="V1853" s="573"/>
      <c r="W1853" s="573"/>
      <c r="X1853" s="573"/>
      <c r="Y1853" s="573"/>
      <c r="Z1853" s="573"/>
    </row>
    <row r="1854" spans="1:26" ht="18.75">
      <c r="A1854" s="677"/>
      <c r="B1854" s="677"/>
      <c r="C1854" s="677"/>
      <c r="D1854" s="896"/>
      <c r="E1854" s="677"/>
      <c r="F1854" s="677"/>
      <c r="G1854" s="677"/>
      <c r="H1854" s="897"/>
      <c r="I1854" s="898"/>
      <c r="J1854" s="898"/>
      <c r="K1854" s="899"/>
      <c r="L1854" s="899"/>
      <c r="M1854" s="899"/>
      <c r="N1854" s="899"/>
      <c r="O1854" s="899"/>
      <c r="P1854" s="899"/>
      <c r="Q1854" s="573"/>
      <c r="R1854" s="573"/>
      <c r="S1854" s="573"/>
      <c r="T1854" s="573"/>
      <c r="U1854" s="573"/>
      <c r="V1854" s="573"/>
      <c r="W1854" s="573"/>
      <c r="X1854" s="573"/>
      <c r="Y1854" s="573"/>
      <c r="Z1854" s="573"/>
    </row>
    <row r="1855" spans="1:26" ht="18.75">
      <c r="A1855" s="677"/>
      <c r="B1855" s="677"/>
      <c r="C1855" s="677"/>
      <c r="D1855" s="896"/>
      <c r="E1855" s="677"/>
      <c r="F1855" s="677"/>
      <c r="G1855" s="677"/>
      <c r="H1855" s="897"/>
      <c r="I1855" s="898"/>
      <c r="J1855" s="898"/>
      <c r="K1855" s="899"/>
      <c r="L1855" s="899"/>
      <c r="M1855" s="899"/>
      <c r="N1855" s="899"/>
      <c r="O1855" s="899"/>
      <c r="P1855" s="899"/>
      <c r="Q1855" s="573"/>
      <c r="R1855" s="573"/>
      <c r="S1855" s="573"/>
      <c r="T1855" s="573"/>
      <c r="U1855" s="573"/>
      <c r="V1855" s="573"/>
      <c r="W1855" s="573"/>
      <c r="X1855" s="573"/>
      <c r="Y1855" s="573"/>
      <c r="Z1855" s="573"/>
    </row>
    <row r="1856" spans="1:26" ht="18.75">
      <c r="A1856" s="677"/>
      <c r="B1856" s="677"/>
      <c r="C1856" s="677"/>
      <c r="D1856" s="896"/>
      <c r="E1856" s="677"/>
      <c r="F1856" s="677"/>
      <c r="G1856" s="677"/>
      <c r="H1856" s="897"/>
      <c r="I1856" s="898"/>
      <c r="J1856" s="898"/>
      <c r="K1856" s="899"/>
      <c r="L1856" s="899"/>
      <c r="M1856" s="899"/>
      <c r="N1856" s="899"/>
      <c r="O1856" s="899"/>
      <c r="P1856" s="899"/>
      <c r="Q1856" s="573"/>
      <c r="R1856" s="573"/>
      <c r="S1856" s="573"/>
      <c r="T1856" s="573"/>
      <c r="U1856" s="573"/>
      <c r="V1856" s="573"/>
      <c r="W1856" s="573"/>
      <c r="X1856" s="573"/>
      <c r="Y1856" s="573"/>
      <c r="Z1856" s="573"/>
    </row>
    <row r="1857" spans="1:26" ht="18.75">
      <c r="A1857" s="677"/>
      <c r="B1857" s="677"/>
      <c r="C1857" s="677"/>
      <c r="D1857" s="896"/>
      <c r="E1857" s="677"/>
      <c r="F1857" s="677"/>
      <c r="G1857" s="677"/>
      <c r="H1857" s="897"/>
      <c r="I1857" s="898"/>
      <c r="J1857" s="898"/>
      <c r="K1857" s="899"/>
      <c r="L1857" s="899"/>
      <c r="M1857" s="899"/>
      <c r="N1857" s="899"/>
      <c r="O1857" s="899"/>
      <c r="P1857" s="899"/>
      <c r="Q1857" s="573"/>
      <c r="R1857" s="573"/>
      <c r="S1857" s="573"/>
      <c r="T1857" s="573"/>
      <c r="U1857" s="573"/>
      <c r="V1857" s="573"/>
      <c r="W1857" s="573"/>
      <c r="X1857" s="573"/>
      <c r="Y1857" s="573"/>
      <c r="Z1857" s="573"/>
    </row>
    <row r="1858" spans="1:26" ht="18.75">
      <c r="A1858" s="677"/>
      <c r="B1858" s="677"/>
      <c r="C1858" s="677"/>
      <c r="D1858" s="896"/>
      <c r="E1858" s="677"/>
      <c r="F1858" s="677"/>
      <c r="G1858" s="677"/>
      <c r="H1858" s="897"/>
      <c r="I1858" s="898"/>
      <c r="J1858" s="898"/>
      <c r="K1858" s="899"/>
      <c r="L1858" s="899"/>
      <c r="M1858" s="899"/>
      <c r="N1858" s="899"/>
      <c r="O1858" s="899"/>
      <c r="P1858" s="899"/>
      <c r="Q1858" s="573"/>
      <c r="R1858" s="573"/>
      <c r="S1858" s="573"/>
      <c r="T1858" s="573"/>
      <c r="U1858" s="573"/>
      <c r="V1858" s="573"/>
      <c r="W1858" s="573"/>
      <c r="X1858" s="573"/>
      <c r="Y1858" s="573"/>
      <c r="Z1858" s="573"/>
    </row>
    <row r="1859" spans="1:26" ht="18.75">
      <c r="A1859" s="677"/>
      <c r="B1859" s="677"/>
      <c r="C1859" s="677"/>
      <c r="D1859" s="896"/>
      <c r="E1859" s="677"/>
      <c r="F1859" s="677"/>
      <c r="G1859" s="677"/>
      <c r="H1859" s="897"/>
      <c r="I1859" s="898"/>
      <c r="J1859" s="898"/>
      <c r="K1859" s="899"/>
      <c r="L1859" s="899"/>
      <c r="M1859" s="899"/>
      <c r="N1859" s="899"/>
      <c r="O1859" s="899"/>
      <c r="P1859" s="899"/>
      <c r="Q1859" s="573"/>
      <c r="R1859" s="573"/>
      <c r="S1859" s="573"/>
      <c r="T1859" s="573"/>
      <c r="U1859" s="573"/>
      <c r="V1859" s="573"/>
      <c r="W1859" s="573"/>
      <c r="X1859" s="573"/>
      <c r="Y1859" s="573"/>
      <c r="Z1859" s="573"/>
    </row>
    <row r="1860" spans="1:26" ht="18.75">
      <c r="A1860" s="677"/>
      <c r="B1860" s="677"/>
      <c r="C1860" s="677"/>
      <c r="D1860" s="896"/>
      <c r="E1860" s="677"/>
      <c r="F1860" s="677"/>
      <c r="G1860" s="677"/>
      <c r="H1860" s="897"/>
      <c r="I1860" s="898"/>
      <c r="J1860" s="898"/>
      <c r="K1860" s="899"/>
      <c r="L1860" s="899"/>
      <c r="M1860" s="899"/>
      <c r="N1860" s="899"/>
      <c r="O1860" s="899"/>
      <c r="P1860" s="899"/>
      <c r="Q1860" s="573"/>
      <c r="R1860" s="573"/>
      <c r="S1860" s="573"/>
      <c r="T1860" s="573"/>
      <c r="U1860" s="573"/>
      <c r="V1860" s="573"/>
      <c r="W1860" s="573"/>
      <c r="X1860" s="573"/>
      <c r="Y1860" s="573"/>
      <c r="Z1860" s="573"/>
    </row>
    <row r="1861" spans="1:26" ht="18.75">
      <c r="A1861" s="677"/>
      <c r="B1861" s="677"/>
      <c r="C1861" s="677"/>
      <c r="D1861" s="896"/>
      <c r="E1861" s="677"/>
      <c r="F1861" s="677"/>
      <c r="G1861" s="677"/>
      <c r="H1861" s="897"/>
      <c r="I1861" s="898"/>
      <c r="J1861" s="898"/>
      <c r="K1861" s="899"/>
      <c r="L1861" s="899"/>
      <c r="M1861" s="899"/>
      <c r="N1861" s="899"/>
      <c r="O1861" s="899"/>
      <c r="P1861" s="899"/>
      <c r="Q1861" s="573"/>
      <c r="R1861" s="573"/>
      <c r="S1861" s="573"/>
      <c r="T1861" s="573"/>
      <c r="U1861" s="573"/>
      <c r="V1861" s="573"/>
      <c r="W1861" s="573"/>
      <c r="X1861" s="573"/>
      <c r="Y1861" s="573"/>
      <c r="Z1861" s="573"/>
    </row>
    <row r="1862" spans="1:26" ht="18.75">
      <c r="A1862" s="677"/>
      <c r="B1862" s="677"/>
      <c r="C1862" s="677"/>
      <c r="D1862" s="896"/>
      <c r="E1862" s="677"/>
      <c r="F1862" s="677"/>
      <c r="G1862" s="677"/>
      <c r="H1862" s="897"/>
      <c r="I1862" s="898"/>
      <c r="J1862" s="898"/>
      <c r="K1862" s="899"/>
      <c r="L1862" s="899"/>
      <c r="M1862" s="899"/>
      <c r="N1862" s="899"/>
      <c r="O1862" s="899"/>
      <c r="P1862" s="899"/>
      <c r="Q1862" s="573"/>
      <c r="R1862" s="573"/>
      <c r="S1862" s="573"/>
      <c r="T1862" s="573"/>
      <c r="U1862" s="573"/>
      <c r="V1862" s="573"/>
      <c r="W1862" s="573"/>
      <c r="X1862" s="573"/>
      <c r="Y1862" s="573"/>
      <c r="Z1862" s="573"/>
    </row>
    <row r="1863" spans="1:26" ht="18.75">
      <c r="A1863" s="677"/>
      <c r="B1863" s="677"/>
      <c r="C1863" s="677"/>
      <c r="D1863" s="896"/>
      <c r="E1863" s="677"/>
      <c r="F1863" s="677"/>
      <c r="G1863" s="677"/>
      <c r="H1863" s="897"/>
      <c r="I1863" s="898"/>
      <c r="J1863" s="898"/>
      <c r="K1863" s="899"/>
      <c r="L1863" s="899"/>
      <c r="M1863" s="899"/>
      <c r="N1863" s="899"/>
      <c r="O1863" s="899"/>
      <c r="P1863" s="899"/>
      <c r="Q1863" s="573"/>
      <c r="R1863" s="573"/>
      <c r="S1863" s="573"/>
      <c r="T1863" s="573"/>
      <c r="U1863" s="573"/>
      <c r="V1863" s="573"/>
      <c r="W1863" s="573"/>
      <c r="X1863" s="573"/>
      <c r="Y1863" s="573"/>
      <c r="Z1863" s="573"/>
    </row>
    <row r="1864" spans="1:26" ht="18.75">
      <c r="A1864" s="677"/>
      <c r="B1864" s="677"/>
      <c r="C1864" s="677"/>
      <c r="D1864" s="896"/>
      <c r="E1864" s="677"/>
      <c r="F1864" s="677"/>
      <c r="G1864" s="677"/>
      <c r="H1864" s="897"/>
      <c r="I1864" s="898"/>
      <c r="J1864" s="898"/>
      <c r="K1864" s="899"/>
      <c r="L1864" s="899"/>
      <c r="M1864" s="899"/>
      <c r="N1864" s="899"/>
      <c r="O1864" s="899"/>
      <c r="P1864" s="899"/>
      <c r="Q1864" s="573"/>
      <c r="R1864" s="573"/>
      <c r="S1864" s="573"/>
      <c r="T1864" s="573"/>
      <c r="U1864" s="573"/>
      <c r="V1864" s="573"/>
      <c r="W1864" s="573"/>
      <c r="X1864" s="573"/>
      <c r="Y1864" s="573"/>
      <c r="Z1864" s="573"/>
    </row>
    <row r="1865" spans="1:26" ht="18.75">
      <c r="A1865" s="677"/>
      <c r="B1865" s="677"/>
      <c r="C1865" s="677"/>
      <c r="D1865" s="896"/>
      <c r="E1865" s="677"/>
      <c r="F1865" s="677"/>
      <c r="G1865" s="677"/>
      <c r="H1865" s="897"/>
      <c r="I1865" s="898"/>
      <c r="J1865" s="898"/>
      <c r="K1865" s="899"/>
      <c r="L1865" s="899"/>
      <c r="M1865" s="899"/>
      <c r="N1865" s="899"/>
      <c r="O1865" s="899"/>
      <c r="P1865" s="899"/>
      <c r="Q1865" s="573"/>
      <c r="R1865" s="573"/>
      <c r="S1865" s="573"/>
      <c r="T1865" s="573"/>
      <c r="U1865" s="573"/>
      <c r="V1865" s="573"/>
      <c r="W1865" s="573"/>
      <c r="X1865" s="573"/>
      <c r="Y1865" s="573"/>
      <c r="Z1865" s="573"/>
    </row>
    <row r="1866" spans="1:26" ht="18.75">
      <c r="A1866" s="677"/>
      <c r="B1866" s="677"/>
      <c r="C1866" s="677"/>
      <c r="D1866" s="896"/>
      <c r="E1866" s="677"/>
      <c r="F1866" s="677"/>
      <c r="G1866" s="677"/>
      <c r="H1866" s="897"/>
      <c r="I1866" s="898"/>
      <c r="J1866" s="898"/>
      <c r="K1866" s="899"/>
      <c r="L1866" s="899"/>
      <c r="M1866" s="899"/>
      <c r="N1866" s="899"/>
      <c r="O1866" s="899"/>
      <c r="P1866" s="899"/>
      <c r="Q1866" s="573"/>
      <c r="R1866" s="573"/>
      <c r="S1866" s="573"/>
      <c r="T1866" s="573"/>
      <c r="U1866" s="573"/>
      <c r="V1866" s="573"/>
      <c r="W1866" s="573"/>
      <c r="X1866" s="573"/>
      <c r="Y1866" s="573"/>
      <c r="Z1866" s="573"/>
    </row>
    <row r="1867" spans="1:26" ht="18.75">
      <c r="A1867" s="677"/>
      <c r="B1867" s="677"/>
      <c r="C1867" s="677"/>
      <c r="D1867" s="896"/>
      <c r="E1867" s="677"/>
      <c r="F1867" s="677"/>
      <c r="G1867" s="677"/>
      <c r="H1867" s="897"/>
      <c r="I1867" s="898"/>
      <c r="J1867" s="898"/>
      <c r="K1867" s="899"/>
      <c r="L1867" s="899"/>
      <c r="M1867" s="899"/>
      <c r="N1867" s="899"/>
      <c r="O1867" s="899"/>
      <c r="P1867" s="899"/>
      <c r="Q1867" s="573"/>
      <c r="R1867" s="573"/>
      <c r="S1867" s="573"/>
      <c r="T1867" s="573"/>
      <c r="U1867" s="573"/>
      <c r="V1867" s="573"/>
      <c r="W1867" s="573"/>
      <c r="X1867" s="573"/>
      <c r="Y1867" s="573"/>
      <c r="Z1867" s="573"/>
    </row>
    <row r="1868" spans="1:26" ht="18.75">
      <c r="A1868" s="677"/>
      <c r="B1868" s="677"/>
      <c r="C1868" s="677"/>
      <c r="D1868" s="896"/>
      <c r="E1868" s="677"/>
      <c r="F1868" s="677"/>
      <c r="G1868" s="677"/>
      <c r="H1868" s="897"/>
      <c r="I1868" s="898"/>
      <c r="J1868" s="898"/>
      <c r="K1868" s="899"/>
      <c r="L1868" s="899"/>
      <c r="M1868" s="899"/>
      <c r="N1868" s="899"/>
      <c r="O1868" s="899"/>
      <c r="P1868" s="899"/>
      <c r="Q1868" s="573"/>
      <c r="R1868" s="573"/>
      <c r="S1868" s="573"/>
      <c r="T1868" s="573"/>
      <c r="U1868" s="573"/>
      <c r="V1868" s="573"/>
      <c r="W1868" s="573"/>
      <c r="X1868" s="573"/>
      <c r="Y1868" s="573"/>
      <c r="Z1868" s="573"/>
    </row>
    <row r="1869" spans="1:26" ht="18.75">
      <c r="A1869" s="677"/>
      <c r="B1869" s="677"/>
      <c r="C1869" s="677"/>
      <c r="D1869" s="896"/>
      <c r="E1869" s="677"/>
      <c r="F1869" s="677"/>
      <c r="G1869" s="677"/>
      <c r="H1869" s="897"/>
      <c r="I1869" s="898"/>
      <c r="J1869" s="898"/>
      <c r="K1869" s="899"/>
      <c r="L1869" s="899"/>
      <c r="M1869" s="899"/>
      <c r="N1869" s="899"/>
      <c r="O1869" s="899"/>
      <c r="P1869" s="899"/>
      <c r="Q1869" s="573"/>
      <c r="R1869" s="573"/>
      <c r="S1869" s="573"/>
      <c r="T1869" s="573"/>
      <c r="U1869" s="573"/>
      <c r="V1869" s="573"/>
      <c r="W1869" s="573"/>
      <c r="X1869" s="573"/>
      <c r="Y1869" s="573"/>
      <c r="Z1869" s="573"/>
    </row>
    <row r="1870" spans="1:26" ht="18.75">
      <c r="A1870" s="677"/>
      <c r="B1870" s="677"/>
      <c r="C1870" s="677"/>
      <c r="D1870" s="896"/>
      <c r="E1870" s="677"/>
      <c r="F1870" s="677"/>
      <c r="G1870" s="677"/>
      <c r="H1870" s="897"/>
      <c r="I1870" s="898"/>
      <c r="J1870" s="898"/>
      <c r="K1870" s="899"/>
      <c r="L1870" s="899"/>
      <c r="M1870" s="899"/>
      <c r="N1870" s="899"/>
      <c r="O1870" s="899"/>
      <c r="P1870" s="899"/>
      <c r="Q1870" s="573"/>
      <c r="R1870" s="573"/>
      <c r="S1870" s="573"/>
      <c r="T1870" s="573"/>
      <c r="U1870" s="573"/>
      <c r="V1870" s="573"/>
      <c r="W1870" s="573"/>
      <c r="X1870" s="573"/>
      <c r="Y1870" s="573"/>
      <c r="Z1870" s="573"/>
    </row>
    <row r="1871" spans="1:26" ht="18.75">
      <c r="A1871" s="677"/>
      <c r="B1871" s="677"/>
      <c r="C1871" s="677"/>
      <c r="D1871" s="896"/>
      <c r="E1871" s="677"/>
      <c r="F1871" s="677"/>
      <c r="G1871" s="677"/>
      <c r="H1871" s="897"/>
      <c r="I1871" s="898"/>
      <c r="J1871" s="898"/>
      <c r="K1871" s="899"/>
      <c r="L1871" s="899"/>
      <c r="M1871" s="899"/>
      <c r="N1871" s="899"/>
      <c r="O1871" s="899"/>
      <c r="P1871" s="899"/>
      <c r="Q1871" s="573"/>
      <c r="R1871" s="573"/>
      <c r="S1871" s="573"/>
      <c r="T1871" s="573"/>
      <c r="U1871" s="573"/>
      <c r="V1871" s="573"/>
      <c r="W1871" s="573"/>
      <c r="X1871" s="573"/>
      <c r="Y1871" s="573"/>
      <c r="Z1871" s="573"/>
    </row>
    <row r="1872" spans="1:26" ht="18.75">
      <c r="A1872" s="677"/>
      <c r="B1872" s="677"/>
      <c r="C1872" s="677"/>
      <c r="D1872" s="896"/>
      <c r="E1872" s="677"/>
      <c r="F1872" s="677"/>
      <c r="G1872" s="677"/>
      <c r="H1872" s="897"/>
      <c r="I1872" s="898"/>
      <c r="J1872" s="898"/>
      <c r="K1872" s="899"/>
      <c r="L1872" s="899"/>
      <c r="M1872" s="899"/>
      <c r="N1872" s="899"/>
      <c r="O1872" s="899"/>
      <c r="P1872" s="899"/>
      <c r="Q1872" s="573"/>
      <c r="R1872" s="573"/>
      <c r="S1872" s="573"/>
      <c r="T1872" s="573"/>
      <c r="U1872" s="573"/>
      <c r="V1872" s="573"/>
      <c r="W1872" s="573"/>
      <c r="X1872" s="573"/>
      <c r="Y1872" s="573"/>
      <c r="Z1872" s="573"/>
    </row>
    <row r="1873" spans="1:26" ht="18.75">
      <c r="A1873" s="677"/>
      <c r="B1873" s="677"/>
      <c r="C1873" s="677"/>
      <c r="D1873" s="896"/>
      <c r="E1873" s="677"/>
      <c r="F1873" s="677"/>
      <c r="G1873" s="677"/>
      <c r="H1873" s="897"/>
      <c r="I1873" s="898"/>
      <c r="J1873" s="898"/>
      <c r="K1873" s="899"/>
      <c r="L1873" s="899"/>
      <c r="M1873" s="899"/>
      <c r="N1873" s="899"/>
      <c r="O1873" s="899"/>
      <c r="P1873" s="899"/>
      <c r="Q1873" s="573"/>
      <c r="R1873" s="573"/>
      <c r="S1873" s="573"/>
      <c r="T1873" s="573"/>
      <c r="U1873" s="573"/>
      <c r="V1873" s="573"/>
      <c r="W1873" s="573"/>
      <c r="X1873" s="573"/>
      <c r="Y1873" s="573"/>
      <c r="Z1873" s="573"/>
    </row>
    <row r="1874" spans="1:26" ht="18.75">
      <c r="A1874" s="677"/>
      <c r="B1874" s="677"/>
      <c r="C1874" s="677"/>
      <c r="D1874" s="896"/>
      <c r="E1874" s="677"/>
      <c r="F1874" s="677"/>
      <c r="G1874" s="677"/>
      <c r="H1874" s="897"/>
      <c r="I1874" s="898"/>
      <c r="J1874" s="898"/>
      <c r="K1874" s="899"/>
      <c r="L1874" s="899"/>
      <c r="M1874" s="899"/>
      <c r="N1874" s="899"/>
      <c r="O1874" s="899"/>
      <c r="P1874" s="899"/>
      <c r="Q1874" s="573"/>
      <c r="R1874" s="573"/>
      <c r="S1874" s="573"/>
      <c r="T1874" s="573"/>
      <c r="U1874" s="573"/>
      <c r="V1874" s="573"/>
      <c r="W1874" s="573"/>
      <c r="X1874" s="573"/>
      <c r="Y1874" s="573"/>
      <c r="Z1874" s="573"/>
    </row>
    <row r="1875" spans="1:26" ht="18.75">
      <c r="A1875" s="677"/>
      <c r="B1875" s="677"/>
      <c r="C1875" s="677"/>
      <c r="D1875" s="896"/>
      <c r="E1875" s="677"/>
      <c r="F1875" s="677"/>
      <c r="G1875" s="677"/>
      <c r="H1875" s="897"/>
      <c r="I1875" s="898"/>
      <c r="J1875" s="898"/>
      <c r="K1875" s="899"/>
      <c r="L1875" s="899"/>
      <c r="M1875" s="899"/>
      <c r="N1875" s="899"/>
      <c r="O1875" s="899"/>
      <c r="P1875" s="899"/>
      <c r="Q1875" s="573"/>
      <c r="R1875" s="573"/>
      <c r="S1875" s="573"/>
      <c r="T1875" s="573"/>
      <c r="U1875" s="573"/>
      <c r="V1875" s="573"/>
      <c r="W1875" s="573"/>
      <c r="X1875" s="573"/>
      <c r="Y1875" s="573"/>
      <c r="Z1875" s="573"/>
    </row>
    <row r="1876" spans="1:26" ht="18.75">
      <c r="A1876" s="677"/>
      <c r="B1876" s="677"/>
      <c r="C1876" s="677"/>
      <c r="D1876" s="896"/>
      <c r="E1876" s="677"/>
      <c r="F1876" s="677"/>
      <c r="G1876" s="677"/>
      <c r="H1876" s="897"/>
      <c r="I1876" s="898"/>
      <c r="J1876" s="898"/>
      <c r="K1876" s="899"/>
      <c r="L1876" s="899"/>
      <c r="M1876" s="899"/>
      <c r="N1876" s="899"/>
      <c r="O1876" s="899"/>
      <c r="P1876" s="899"/>
      <c r="Q1876" s="573"/>
      <c r="R1876" s="573"/>
      <c r="S1876" s="573"/>
      <c r="T1876" s="573"/>
      <c r="U1876" s="573"/>
      <c r="V1876" s="573"/>
      <c r="W1876" s="573"/>
      <c r="X1876" s="573"/>
      <c r="Y1876" s="573"/>
      <c r="Z1876" s="573"/>
    </row>
    <row r="1877" spans="1:26" ht="18.75">
      <c r="A1877" s="677"/>
      <c r="B1877" s="677"/>
      <c r="C1877" s="677"/>
      <c r="D1877" s="896"/>
      <c r="E1877" s="677"/>
      <c r="F1877" s="677"/>
      <c r="G1877" s="677"/>
      <c r="H1877" s="897"/>
      <c r="I1877" s="898"/>
      <c r="J1877" s="898"/>
      <c r="K1877" s="899"/>
      <c r="L1877" s="899"/>
      <c r="M1877" s="899"/>
      <c r="N1877" s="899"/>
      <c r="O1877" s="899"/>
      <c r="P1877" s="899"/>
      <c r="Q1877" s="573"/>
      <c r="R1877" s="573"/>
      <c r="S1877" s="573"/>
      <c r="T1877" s="573"/>
      <c r="U1877" s="573"/>
      <c r="V1877" s="573"/>
      <c r="W1877" s="573"/>
      <c r="X1877" s="573"/>
      <c r="Y1877" s="573"/>
      <c r="Z1877" s="573"/>
    </row>
    <row r="1878" spans="1:26" ht="18.75">
      <c r="A1878" s="677"/>
      <c r="B1878" s="677"/>
      <c r="C1878" s="677"/>
      <c r="D1878" s="896"/>
      <c r="E1878" s="677"/>
      <c r="F1878" s="677"/>
      <c r="G1878" s="677"/>
      <c r="H1878" s="897"/>
      <c r="I1878" s="898"/>
      <c r="J1878" s="898"/>
      <c r="K1878" s="899"/>
      <c r="L1878" s="899"/>
      <c r="M1878" s="899"/>
      <c r="N1878" s="899"/>
      <c r="O1878" s="899"/>
      <c r="P1878" s="899"/>
      <c r="Q1878" s="573"/>
      <c r="R1878" s="573"/>
      <c r="S1878" s="573"/>
      <c r="T1878" s="573"/>
      <c r="U1878" s="573"/>
      <c r="V1878" s="573"/>
      <c r="W1878" s="573"/>
      <c r="X1878" s="573"/>
      <c r="Y1878" s="573"/>
      <c r="Z1878" s="573"/>
    </row>
    <row r="1879" spans="1:26" ht="18.75">
      <c r="A1879" s="677"/>
      <c r="B1879" s="677"/>
      <c r="C1879" s="677"/>
      <c r="D1879" s="896"/>
      <c r="E1879" s="677"/>
      <c r="F1879" s="677"/>
      <c r="G1879" s="677"/>
      <c r="H1879" s="897"/>
      <c r="I1879" s="898"/>
      <c r="J1879" s="898"/>
      <c r="K1879" s="899"/>
      <c r="L1879" s="899"/>
      <c r="M1879" s="899"/>
      <c r="N1879" s="899"/>
      <c r="O1879" s="899"/>
      <c r="P1879" s="899"/>
      <c r="Q1879" s="573"/>
      <c r="R1879" s="573"/>
      <c r="S1879" s="573"/>
      <c r="T1879" s="573"/>
      <c r="U1879" s="573"/>
      <c r="V1879" s="573"/>
      <c r="W1879" s="573"/>
      <c r="X1879" s="573"/>
      <c r="Y1879" s="573"/>
      <c r="Z1879" s="573"/>
    </row>
    <row r="1880" spans="1:26" ht="18.75">
      <c r="A1880" s="677"/>
      <c r="B1880" s="677"/>
      <c r="C1880" s="677"/>
      <c r="D1880" s="896"/>
      <c r="E1880" s="677"/>
      <c r="F1880" s="677"/>
      <c r="G1880" s="677"/>
      <c r="H1880" s="897"/>
      <c r="I1880" s="898"/>
      <c r="J1880" s="898"/>
      <c r="K1880" s="899"/>
      <c r="L1880" s="899"/>
      <c r="M1880" s="899"/>
      <c r="N1880" s="899"/>
      <c r="O1880" s="899"/>
      <c r="P1880" s="899"/>
      <c r="Q1880" s="573"/>
      <c r="R1880" s="573"/>
      <c r="S1880" s="573"/>
      <c r="T1880" s="573"/>
      <c r="U1880" s="573"/>
      <c r="V1880" s="573"/>
      <c r="W1880" s="573"/>
      <c r="X1880" s="573"/>
      <c r="Y1880" s="573"/>
      <c r="Z1880" s="573"/>
    </row>
    <row r="1881" spans="1:26" ht="18.75">
      <c r="A1881" s="677"/>
      <c r="B1881" s="677"/>
      <c r="C1881" s="677"/>
      <c r="D1881" s="896"/>
      <c r="E1881" s="677"/>
      <c r="F1881" s="677"/>
      <c r="G1881" s="677"/>
      <c r="H1881" s="897"/>
      <c r="I1881" s="898"/>
      <c r="J1881" s="898"/>
      <c r="K1881" s="899"/>
      <c r="L1881" s="899"/>
      <c r="M1881" s="899"/>
      <c r="N1881" s="899"/>
      <c r="O1881" s="899"/>
      <c r="P1881" s="899"/>
      <c r="Q1881" s="573"/>
      <c r="R1881" s="573"/>
      <c r="S1881" s="573"/>
      <c r="T1881" s="573"/>
      <c r="U1881" s="573"/>
      <c r="V1881" s="573"/>
      <c r="W1881" s="573"/>
      <c r="X1881" s="573"/>
      <c r="Y1881" s="573"/>
      <c r="Z1881" s="573"/>
    </row>
    <row r="1882" spans="1:26" ht="18.75">
      <c r="A1882" s="677"/>
      <c r="B1882" s="677"/>
      <c r="C1882" s="677"/>
      <c r="D1882" s="896"/>
      <c r="E1882" s="677"/>
      <c r="F1882" s="677"/>
      <c r="G1882" s="677"/>
      <c r="H1882" s="897"/>
      <c r="I1882" s="898"/>
      <c r="J1882" s="898"/>
      <c r="K1882" s="899"/>
      <c r="L1882" s="899"/>
      <c r="M1882" s="899"/>
      <c r="N1882" s="899"/>
      <c r="O1882" s="899"/>
      <c r="P1882" s="899"/>
      <c r="Q1882" s="573"/>
      <c r="R1882" s="573"/>
      <c r="S1882" s="573"/>
      <c r="T1882" s="573"/>
      <c r="U1882" s="573"/>
      <c r="V1882" s="573"/>
      <c r="W1882" s="573"/>
      <c r="X1882" s="573"/>
      <c r="Y1882" s="573"/>
      <c r="Z1882" s="573"/>
    </row>
    <row r="1883" spans="1:26" ht="18.75">
      <c r="A1883" s="677"/>
      <c r="B1883" s="677"/>
      <c r="C1883" s="677"/>
      <c r="D1883" s="896"/>
      <c r="E1883" s="677"/>
      <c r="F1883" s="677"/>
      <c r="G1883" s="677"/>
      <c r="H1883" s="897"/>
      <c r="I1883" s="898"/>
      <c r="J1883" s="898"/>
      <c r="K1883" s="899"/>
      <c r="L1883" s="899"/>
      <c r="M1883" s="899"/>
      <c r="N1883" s="899"/>
      <c r="O1883" s="899"/>
      <c r="P1883" s="899"/>
      <c r="Q1883" s="573"/>
      <c r="R1883" s="573"/>
      <c r="S1883" s="573"/>
      <c r="T1883" s="573"/>
      <c r="U1883" s="573"/>
      <c r="V1883" s="573"/>
      <c r="W1883" s="573"/>
      <c r="X1883" s="573"/>
      <c r="Y1883" s="573"/>
      <c r="Z1883" s="573"/>
    </row>
    <row r="1884" spans="1:26" ht="18.75">
      <c r="A1884" s="677"/>
      <c r="B1884" s="677"/>
      <c r="C1884" s="677"/>
      <c r="D1884" s="896"/>
      <c r="E1884" s="677"/>
      <c r="F1884" s="677"/>
      <c r="G1884" s="677"/>
      <c r="H1884" s="897"/>
      <c r="I1884" s="898"/>
      <c r="J1884" s="898"/>
      <c r="K1884" s="899"/>
      <c r="L1884" s="899"/>
      <c r="M1884" s="899"/>
      <c r="N1884" s="899"/>
      <c r="O1884" s="899"/>
      <c r="P1884" s="899"/>
      <c r="Q1884" s="573"/>
      <c r="R1884" s="573"/>
      <c r="S1884" s="573"/>
      <c r="T1884" s="573"/>
      <c r="U1884" s="573"/>
      <c r="V1884" s="573"/>
      <c r="W1884" s="573"/>
      <c r="X1884" s="573"/>
      <c r="Y1884" s="573"/>
      <c r="Z1884" s="573"/>
    </row>
    <row r="1885" spans="1:26" ht="18.75">
      <c r="A1885" s="677"/>
      <c r="B1885" s="677"/>
      <c r="C1885" s="677"/>
      <c r="D1885" s="896"/>
      <c r="E1885" s="677"/>
      <c r="F1885" s="677"/>
      <c r="G1885" s="677"/>
      <c r="H1885" s="897"/>
      <c r="I1885" s="898"/>
      <c r="J1885" s="898"/>
      <c r="K1885" s="899"/>
      <c r="L1885" s="899"/>
      <c r="M1885" s="899"/>
      <c r="N1885" s="899"/>
      <c r="O1885" s="899"/>
      <c r="P1885" s="899"/>
      <c r="Q1885" s="573"/>
      <c r="R1885" s="573"/>
      <c r="S1885" s="573"/>
      <c r="T1885" s="573"/>
      <c r="U1885" s="573"/>
      <c r="V1885" s="573"/>
      <c r="W1885" s="573"/>
      <c r="X1885" s="573"/>
      <c r="Y1885" s="573"/>
      <c r="Z1885" s="573"/>
    </row>
    <row r="1886" spans="1:26" ht="18.75">
      <c r="A1886" s="677"/>
      <c r="B1886" s="677"/>
      <c r="C1886" s="677"/>
      <c r="D1886" s="896"/>
      <c r="E1886" s="677"/>
      <c r="F1886" s="677"/>
      <c r="G1886" s="677"/>
      <c r="H1886" s="897"/>
      <c r="I1886" s="898"/>
      <c r="J1886" s="898"/>
      <c r="K1886" s="899"/>
      <c r="L1886" s="899"/>
      <c r="M1886" s="899"/>
      <c r="N1886" s="899"/>
      <c r="O1886" s="899"/>
      <c r="P1886" s="899"/>
      <c r="Q1886" s="573"/>
      <c r="R1886" s="573"/>
      <c r="S1886" s="573"/>
      <c r="T1886" s="573"/>
      <c r="U1886" s="573"/>
      <c r="V1886" s="573"/>
      <c r="W1886" s="573"/>
      <c r="X1886" s="573"/>
      <c r="Y1886" s="573"/>
      <c r="Z1886" s="573"/>
    </row>
    <row r="1887" spans="1:26" ht="18.75">
      <c r="A1887" s="677"/>
      <c r="B1887" s="677"/>
      <c r="C1887" s="677"/>
      <c r="D1887" s="896"/>
      <c r="E1887" s="677"/>
      <c r="F1887" s="677"/>
      <c r="G1887" s="677"/>
      <c r="H1887" s="897"/>
      <c r="I1887" s="898"/>
      <c r="J1887" s="898"/>
      <c r="K1887" s="899"/>
      <c r="L1887" s="899"/>
      <c r="M1887" s="899"/>
      <c r="N1887" s="899"/>
      <c r="O1887" s="899"/>
      <c r="P1887" s="899"/>
      <c r="Q1887" s="573"/>
      <c r="R1887" s="573"/>
      <c r="S1887" s="573"/>
      <c r="T1887" s="573"/>
      <c r="U1887" s="573"/>
      <c r="V1887" s="573"/>
      <c r="W1887" s="573"/>
      <c r="X1887" s="573"/>
      <c r="Y1887" s="573"/>
      <c r="Z1887" s="573"/>
    </row>
    <row r="1888" spans="1:26" ht="18.75">
      <c r="A1888" s="677"/>
      <c r="B1888" s="677"/>
      <c r="C1888" s="677"/>
      <c r="D1888" s="896"/>
      <c r="E1888" s="677"/>
      <c r="F1888" s="677"/>
      <c r="G1888" s="677"/>
      <c r="H1888" s="897"/>
      <c r="I1888" s="898"/>
      <c r="J1888" s="898"/>
      <c r="K1888" s="899"/>
      <c r="L1888" s="899"/>
      <c r="M1888" s="899"/>
      <c r="N1888" s="899"/>
      <c r="O1888" s="899"/>
      <c r="P1888" s="899"/>
      <c r="Q1888" s="573"/>
      <c r="R1888" s="573"/>
      <c r="S1888" s="573"/>
      <c r="T1888" s="573"/>
      <c r="U1888" s="573"/>
      <c r="V1888" s="573"/>
      <c r="W1888" s="573"/>
      <c r="X1888" s="573"/>
      <c r="Y1888" s="573"/>
      <c r="Z1888" s="573"/>
    </row>
    <row r="1889" spans="1:26" ht="18.75">
      <c r="A1889" s="677"/>
      <c r="B1889" s="677"/>
      <c r="C1889" s="677"/>
      <c r="D1889" s="896"/>
      <c r="E1889" s="677"/>
      <c r="F1889" s="677"/>
      <c r="G1889" s="677"/>
      <c r="H1889" s="897"/>
      <c r="I1889" s="898"/>
      <c r="J1889" s="898"/>
      <c r="K1889" s="899"/>
      <c r="L1889" s="899"/>
      <c r="M1889" s="899"/>
      <c r="N1889" s="899"/>
      <c r="O1889" s="899"/>
      <c r="P1889" s="899"/>
      <c r="Q1889" s="573"/>
      <c r="R1889" s="573"/>
      <c r="S1889" s="573"/>
      <c r="T1889" s="573"/>
      <c r="U1889" s="573"/>
      <c r="V1889" s="573"/>
      <c r="W1889" s="573"/>
      <c r="X1889" s="573"/>
      <c r="Y1889" s="573"/>
      <c r="Z1889" s="573"/>
    </row>
    <row r="1890" spans="1:26" ht="18.75">
      <c r="A1890" s="677"/>
      <c r="B1890" s="677"/>
      <c r="C1890" s="677"/>
      <c r="D1890" s="896"/>
      <c r="E1890" s="677"/>
      <c r="F1890" s="677"/>
      <c r="G1890" s="677"/>
      <c r="H1890" s="897"/>
      <c r="I1890" s="898"/>
      <c r="J1890" s="898"/>
      <c r="K1890" s="899"/>
      <c r="L1890" s="899"/>
      <c r="M1890" s="899"/>
      <c r="N1890" s="899"/>
      <c r="O1890" s="899"/>
      <c r="P1890" s="899"/>
      <c r="Q1890" s="573"/>
      <c r="R1890" s="573"/>
      <c r="S1890" s="573"/>
      <c r="T1890" s="573"/>
      <c r="U1890" s="573"/>
      <c r="V1890" s="573"/>
      <c r="W1890" s="573"/>
      <c r="X1890" s="573"/>
      <c r="Y1890" s="573"/>
      <c r="Z1890" s="573"/>
    </row>
    <row r="1891" spans="1:26" ht="18.75">
      <c r="A1891" s="677"/>
      <c r="B1891" s="677"/>
      <c r="C1891" s="677"/>
      <c r="D1891" s="896"/>
      <c r="E1891" s="677"/>
      <c r="F1891" s="677"/>
      <c r="G1891" s="677"/>
      <c r="H1891" s="897"/>
      <c r="I1891" s="898"/>
      <c r="J1891" s="898"/>
      <c r="K1891" s="899"/>
      <c r="L1891" s="899"/>
      <c r="M1891" s="899"/>
      <c r="N1891" s="899"/>
      <c r="O1891" s="899"/>
      <c r="P1891" s="899"/>
      <c r="Q1891" s="573"/>
      <c r="R1891" s="573"/>
      <c r="S1891" s="573"/>
      <c r="T1891" s="573"/>
      <c r="U1891" s="573"/>
      <c r="V1891" s="573"/>
      <c r="W1891" s="573"/>
      <c r="X1891" s="573"/>
      <c r="Y1891" s="573"/>
      <c r="Z1891" s="573"/>
    </row>
    <row r="1892" spans="1:26" ht="18.75">
      <c r="A1892" s="677"/>
      <c r="B1892" s="677"/>
      <c r="C1892" s="677"/>
      <c r="D1892" s="896"/>
      <c r="E1892" s="677"/>
      <c r="F1892" s="677"/>
      <c r="G1892" s="677"/>
      <c r="H1892" s="897"/>
      <c r="I1892" s="898"/>
      <c r="J1892" s="898"/>
      <c r="K1892" s="899"/>
      <c r="L1892" s="899"/>
      <c r="M1892" s="899"/>
      <c r="N1892" s="899"/>
      <c r="O1892" s="899"/>
      <c r="P1892" s="899"/>
      <c r="Q1892" s="573"/>
      <c r="R1892" s="573"/>
      <c r="S1892" s="573"/>
      <c r="T1892" s="573"/>
      <c r="U1892" s="573"/>
      <c r="V1892" s="573"/>
      <c r="W1892" s="573"/>
      <c r="X1892" s="573"/>
      <c r="Y1892" s="573"/>
      <c r="Z1892" s="573"/>
    </row>
    <row r="1893" spans="1:26" ht="18.75">
      <c r="A1893" s="677"/>
      <c r="B1893" s="677"/>
      <c r="C1893" s="677"/>
      <c r="D1893" s="896"/>
      <c r="E1893" s="677"/>
      <c r="F1893" s="677"/>
      <c r="G1893" s="677"/>
      <c r="H1893" s="897"/>
      <c r="I1893" s="898"/>
      <c r="J1893" s="898"/>
      <c r="K1893" s="899"/>
      <c r="L1893" s="899"/>
      <c r="M1893" s="899"/>
      <c r="N1893" s="899"/>
      <c r="O1893" s="899"/>
      <c r="P1893" s="899"/>
      <c r="Q1893" s="573"/>
      <c r="R1893" s="573"/>
      <c r="S1893" s="573"/>
      <c r="T1893" s="573"/>
      <c r="U1893" s="573"/>
      <c r="V1893" s="573"/>
      <c r="W1893" s="573"/>
      <c r="X1893" s="573"/>
      <c r="Y1893" s="573"/>
      <c r="Z1893" s="573"/>
    </row>
    <row r="1894" spans="1:26" ht="18.75">
      <c r="A1894" s="677"/>
      <c r="B1894" s="677"/>
      <c r="C1894" s="677"/>
      <c r="D1894" s="896"/>
      <c r="E1894" s="677"/>
      <c r="F1894" s="677"/>
      <c r="G1894" s="677"/>
      <c r="H1894" s="897"/>
      <c r="I1894" s="898"/>
      <c r="J1894" s="898"/>
      <c r="K1894" s="899"/>
      <c r="L1894" s="899"/>
      <c r="M1894" s="899"/>
      <c r="N1894" s="899"/>
      <c r="O1894" s="899"/>
      <c r="P1894" s="899"/>
      <c r="Q1894" s="573"/>
      <c r="R1894" s="573"/>
      <c r="S1894" s="573"/>
      <c r="T1894" s="573"/>
      <c r="U1894" s="573"/>
      <c r="V1894" s="573"/>
      <c r="W1894" s="573"/>
      <c r="X1894" s="573"/>
      <c r="Y1894" s="573"/>
      <c r="Z1894" s="573"/>
    </row>
    <row r="1895" spans="1:26" ht="18.75">
      <c r="A1895" s="677"/>
      <c r="B1895" s="677"/>
      <c r="C1895" s="677"/>
      <c r="D1895" s="896"/>
      <c r="E1895" s="677"/>
      <c r="F1895" s="677"/>
      <c r="G1895" s="677"/>
      <c r="H1895" s="897"/>
      <c r="I1895" s="898"/>
      <c r="J1895" s="898"/>
      <c r="K1895" s="899"/>
      <c r="L1895" s="899"/>
      <c r="M1895" s="899"/>
      <c r="N1895" s="899"/>
      <c r="O1895" s="899"/>
      <c r="P1895" s="899"/>
      <c r="Q1895" s="573"/>
      <c r="R1895" s="573"/>
      <c r="S1895" s="573"/>
      <c r="T1895" s="573"/>
      <c r="U1895" s="573"/>
      <c r="V1895" s="573"/>
      <c r="W1895" s="573"/>
      <c r="X1895" s="573"/>
      <c r="Y1895" s="573"/>
      <c r="Z1895" s="573"/>
    </row>
    <row r="1896" spans="1:26" ht="18.75">
      <c r="A1896" s="677"/>
      <c r="B1896" s="677"/>
      <c r="C1896" s="677"/>
      <c r="D1896" s="896"/>
      <c r="E1896" s="677"/>
      <c r="F1896" s="677"/>
      <c r="G1896" s="677"/>
      <c r="H1896" s="897"/>
      <c r="I1896" s="898"/>
      <c r="J1896" s="898"/>
      <c r="K1896" s="899"/>
      <c r="L1896" s="899"/>
      <c r="M1896" s="899"/>
      <c r="N1896" s="899"/>
      <c r="O1896" s="899"/>
      <c r="P1896" s="899"/>
      <c r="Q1896" s="573"/>
      <c r="R1896" s="573"/>
      <c r="S1896" s="573"/>
      <c r="T1896" s="573"/>
      <c r="U1896" s="573"/>
      <c r="V1896" s="573"/>
      <c r="W1896" s="573"/>
      <c r="X1896" s="573"/>
      <c r="Y1896" s="573"/>
      <c r="Z1896" s="573"/>
    </row>
    <row r="1897" spans="1:26" ht="18.75">
      <c r="A1897" s="677"/>
      <c r="B1897" s="677"/>
      <c r="C1897" s="677"/>
      <c r="D1897" s="896"/>
      <c r="E1897" s="677"/>
      <c r="F1897" s="677"/>
      <c r="G1897" s="677"/>
      <c r="H1897" s="897"/>
      <c r="I1897" s="898"/>
      <c r="J1897" s="898"/>
      <c r="K1897" s="899"/>
      <c r="L1897" s="899"/>
      <c r="M1897" s="899"/>
      <c r="N1897" s="899"/>
      <c r="O1897" s="899"/>
      <c r="P1897" s="899"/>
      <c r="Q1897" s="573"/>
      <c r="R1897" s="573"/>
      <c r="S1897" s="573"/>
      <c r="T1897" s="573"/>
      <c r="U1897" s="573"/>
      <c r="V1897" s="573"/>
      <c r="W1897" s="573"/>
      <c r="X1897" s="573"/>
      <c r="Y1897" s="573"/>
      <c r="Z1897" s="573"/>
    </row>
    <row r="1898" spans="1:26" ht="18.75">
      <c r="A1898" s="677"/>
      <c r="B1898" s="677"/>
      <c r="C1898" s="677"/>
      <c r="D1898" s="896"/>
      <c r="E1898" s="677"/>
      <c r="F1898" s="677"/>
      <c r="G1898" s="677"/>
      <c r="H1898" s="897"/>
      <c r="I1898" s="898"/>
      <c r="J1898" s="898"/>
      <c r="K1898" s="899"/>
      <c r="L1898" s="899"/>
      <c r="M1898" s="899"/>
      <c r="N1898" s="899"/>
      <c r="O1898" s="899"/>
      <c r="P1898" s="899"/>
      <c r="Q1898" s="573"/>
      <c r="R1898" s="573"/>
      <c r="S1898" s="573"/>
      <c r="T1898" s="573"/>
      <c r="U1898" s="573"/>
      <c r="V1898" s="573"/>
      <c r="W1898" s="573"/>
      <c r="X1898" s="573"/>
      <c r="Y1898" s="573"/>
      <c r="Z1898" s="573"/>
    </row>
    <row r="1899" spans="1:26" ht="18.75">
      <c r="A1899" s="677"/>
      <c r="B1899" s="677"/>
      <c r="C1899" s="677"/>
      <c r="D1899" s="896"/>
      <c r="E1899" s="677"/>
      <c r="F1899" s="677"/>
      <c r="G1899" s="677"/>
      <c r="H1899" s="897"/>
      <c r="I1899" s="898"/>
      <c r="J1899" s="898"/>
      <c r="K1899" s="899"/>
      <c r="L1899" s="899"/>
      <c r="M1899" s="899"/>
      <c r="N1899" s="899"/>
      <c r="O1899" s="899"/>
      <c r="P1899" s="899"/>
      <c r="Q1899" s="573"/>
      <c r="R1899" s="573"/>
      <c r="S1899" s="573"/>
      <c r="T1899" s="573"/>
      <c r="U1899" s="573"/>
      <c r="V1899" s="573"/>
      <c r="W1899" s="573"/>
      <c r="X1899" s="573"/>
      <c r="Y1899" s="573"/>
      <c r="Z1899" s="573"/>
    </row>
    <row r="1900" spans="1:26" ht="18.75">
      <c r="A1900" s="677"/>
      <c r="B1900" s="677"/>
      <c r="C1900" s="677"/>
      <c r="D1900" s="896"/>
      <c r="E1900" s="677"/>
      <c r="F1900" s="677"/>
      <c r="G1900" s="677"/>
      <c r="H1900" s="897"/>
      <c r="I1900" s="898"/>
      <c r="J1900" s="898"/>
      <c r="K1900" s="899"/>
      <c r="L1900" s="899"/>
      <c r="M1900" s="899"/>
      <c r="N1900" s="899"/>
      <c r="O1900" s="899"/>
      <c r="P1900" s="899"/>
      <c r="Q1900" s="573"/>
      <c r="R1900" s="573"/>
      <c r="S1900" s="573"/>
      <c r="T1900" s="573"/>
      <c r="U1900" s="573"/>
      <c r="V1900" s="573"/>
      <c r="W1900" s="573"/>
      <c r="X1900" s="573"/>
      <c r="Y1900" s="573"/>
      <c r="Z1900" s="573"/>
    </row>
    <row r="1901" spans="1:26" ht="18.75">
      <c r="A1901" s="677"/>
      <c r="B1901" s="677"/>
      <c r="C1901" s="677"/>
      <c r="D1901" s="896"/>
      <c r="E1901" s="677"/>
      <c r="F1901" s="677"/>
      <c r="G1901" s="677"/>
      <c r="H1901" s="897"/>
      <c r="I1901" s="898"/>
      <c r="J1901" s="898"/>
      <c r="K1901" s="899"/>
      <c r="L1901" s="899"/>
      <c r="M1901" s="899"/>
      <c r="N1901" s="899"/>
      <c r="O1901" s="899"/>
      <c r="P1901" s="899"/>
      <c r="Q1901" s="573"/>
      <c r="R1901" s="573"/>
      <c r="S1901" s="573"/>
      <c r="T1901" s="573"/>
      <c r="U1901" s="573"/>
      <c r="V1901" s="573"/>
      <c r="W1901" s="573"/>
      <c r="X1901" s="573"/>
      <c r="Y1901" s="573"/>
      <c r="Z1901" s="573"/>
    </row>
    <row r="1902" spans="1:26" ht="18.75">
      <c r="A1902" s="677"/>
      <c r="B1902" s="677"/>
      <c r="C1902" s="677"/>
      <c r="D1902" s="896"/>
      <c r="E1902" s="677"/>
      <c r="F1902" s="677"/>
      <c r="G1902" s="677"/>
      <c r="H1902" s="897"/>
      <c r="I1902" s="898"/>
      <c r="J1902" s="898"/>
      <c r="K1902" s="899"/>
      <c r="L1902" s="899"/>
      <c r="M1902" s="899"/>
      <c r="N1902" s="899"/>
      <c r="O1902" s="899"/>
      <c r="P1902" s="899"/>
      <c r="Q1902" s="573"/>
      <c r="R1902" s="573"/>
      <c r="S1902" s="573"/>
      <c r="T1902" s="573"/>
      <c r="U1902" s="573"/>
      <c r="V1902" s="573"/>
      <c r="W1902" s="573"/>
      <c r="X1902" s="573"/>
      <c r="Y1902" s="573"/>
      <c r="Z1902" s="573"/>
    </row>
    <row r="1903" spans="1:26" ht="18.75">
      <c r="A1903" s="677"/>
      <c r="B1903" s="677"/>
      <c r="C1903" s="677"/>
      <c r="D1903" s="896"/>
      <c r="E1903" s="677"/>
      <c r="F1903" s="677"/>
      <c r="G1903" s="677"/>
      <c r="H1903" s="897"/>
      <c r="I1903" s="898"/>
      <c r="J1903" s="898"/>
      <c r="K1903" s="899"/>
      <c r="L1903" s="899"/>
      <c r="M1903" s="899"/>
      <c r="N1903" s="899"/>
      <c r="O1903" s="899"/>
      <c r="P1903" s="899"/>
      <c r="Q1903" s="573"/>
      <c r="R1903" s="573"/>
      <c r="S1903" s="573"/>
      <c r="T1903" s="573"/>
      <c r="U1903" s="573"/>
      <c r="V1903" s="573"/>
      <c r="W1903" s="573"/>
      <c r="X1903" s="573"/>
      <c r="Y1903" s="573"/>
      <c r="Z1903" s="573"/>
    </row>
    <row r="1904" spans="1:26" ht="18.75">
      <c r="A1904" s="677"/>
      <c r="B1904" s="677"/>
      <c r="C1904" s="677"/>
      <c r="D1904" s="896"/>
      <c r="E1904" s="677"/>
      <c r="F1904" s="677"/>
      <c r="G1904" s="677"/>
      <c r="H1904" s="897"/>
      <c r="I1904" s="898"/>
      <c r="J1904" s="898"/>
      <c r="K1904" s="899"/>
      <c r="L1904" s="899"/>
      <c r="M1904" s="899"/>
      <c r="N1904" s="899"/>
      <c r="O1904" s="899"/>
      <c r="P1904" s="899"/>
      <c r="Q1904" s="573"/>
      <c r="R1904" s="573"/>
      <c r="S1904" s="573"/>
      <c r="T1904" s="573"/>
      <c r="U1904" s="573"/>
      <c r="V1904" s="573"/>
      <c r="W1904" s="573"/>
      <c r="X1904" s="573"/>
      <c r="Y1904" s="573"/>
      <c r="Z1904" s="573"/>
    </row>
    <row r="1905" spans="1:26" ht="18.75">
      <c r="A1905" s="677"/>
      <c r="B1905" s="677"/>
      <c r="C1905" s="677"/>
      <c r="D1905" s="896"/>
      <c r="E1905" s="677"/>
      <c r="F1905" s="677"/>
      <c r="G1905" s="677"/>
      <c r="H1905" s="897"/>
      <c r="I1905" s="898"/>
      <c r="J1905" s="898"/>
      <c r="K1905" s="899"/>
      <c r="L1905" s="899"/>
      <c r="M1905" s="899"/>
      <c r="N1905" s="899"/>
      <c r="O1905" s="899"/>
      <c r="P1905" s="899"/>
      <c r="Q1905" s="573"/>
      <c r="R1905" s="573"/>
      <c r="S1905" s="573"/>
      <c r="T1905" s="573"/>
      <c r="U1905" s="573"/>
      <c r="V1905" s="573"/>
      <c r="W1905" s="573"/>
      <c r="X1905" s="573"/>
      <c r="Y1905" s="573"/>
      <c r="Z1905" s="573"/>
    </row>
    <row r="1906" spans="1:26" ht="18.75">
      <c r="A1906" s="677"/>
      <c r="B1906" s="677"/>
      <c r="C1906" s="677"/>
      <c r="D1906" s="896"/>
      <c r="E1906" s="677"/>
      <c r="F1906" s="677"/>
      <c r="G1906" s="677"/>
      <c r="H1906" s="897"/>
      <c r="I1906" s="898"/>
      <c r="J1906" s="898"/>
      <c r="K1906" s="899"/>
      <c r="L1906" s="899"/>
      <c r="M1906" s="899"/>
      <c r="N1906" s="899"/>
      <c r="O1906" s="899"/>
      <c r="P1906" s="899"/>
      <c r="Q1906" s="573"/>
      <c r="R1906" s="573"/>
      <c r="S1906" s="573"/>
      <c r="T1906" s="573"/>
      <c r="U1906" s="573"/>
      <c r="V1906" s="573"/>
      <c r="W1906" s="573"/>
      <c r="X1906" s="573"/>
      <c r="Y1906" s="573"/>
      <c r="Z1906" s="573"/>
    </row>
    <row r="1907" spans="1:26" ht="18.75">
      <c r="A1907" s="677"/>
      <c r="B1907" s="677"/>
      <c r="C1907" s="677"/>
      <c r="D1907" s="896"/>
      <c r="E1907" s="677"/>
      <c r="F1907" s="677"/>
      <c r="G1907" s="677"/>
      <c r="H1907" s="897"/>
      <c r="I1907" s="898"/>
      <c r="J1907" s="898"/>
      <c r="K1907" s="899"/>
      <c r="L1907" s="899"/>
      <c r="M1907" s="899"/>
      <c r="N1907" s="899"/>
      <c r="O1907" s="899"/>
      <c r="P1907" s="899"/>
      <c r="Q1907" s="573"/>
      <c r="R1907" s="573"/>
      <c r="S1907" s="573"/>
      <c r="T1907" s="573"/>
      <c r="U1907" s="573"/>
      <c r="V1907" s="573"/>
      <c r="W1907" s="573"/>
      <c r="X1907" s="573"/>
      <c r="Y1907" s="573"/>
      <c r="Z1907" s="573"/>
    </row>
    <row r="1908" spans="1:26" ht="18.75">
      <c r="A1908" s="677"/>
      <c r="B1908" s="677"/>
      <c r="C1908" s="677"/>
      <c r="D1908" s="896"/>
      <c r="E1908" s="677"/>
      <c r="F1908" s="677"/>
      <c r="G1908" s="677"/>
      <c r="H1908" s="897"/>
      <c r="I1908" s="898"/>
      <c r="J1908" s="898"/>
      <c r="K1908" s="899"/>
      <c r="L1908" s="899"/>
      <c r="M1908" s="899"/>
      <c r="N1908" s="899"/>
      <c r="O1908" s="899"/>
      <c r="P1908" s="899"/>
      <c r="Q1908" s="573"/>
      <c r="R1908" s="573"/>
      <c r="S1908" s="573"/>
      <c r="T1908" s="573"/>
      <c r="U1908" s="573"/>
      <c r="V1908" s="573"/>
      <c r="W1908" s="573"/>
      <c r="X1908" s="573"/>
      <c r="Y1908" s="573"/>
      <c r="Z1908" s="573"/>
    </row>
    <row r="1909" spans="1:26" ht="18.75">
      <c r="A1909" s="677"/>
      <c r="B1909" s="677"/>
      <c r="C1909" s="677"/>
      <c r="D1909" s="896"/>
      <c r="E1909" s="677"/>
      <c r="F1909" s="677"/>
      <c r="G1909" s="677"/>
      <c r="H1909" s="897"/>
      <c r="I1909" s="898"/>
      <c r="J1909" s="898"/>
      <c r="K1909" s="899"/>
      <c r="L1909" s="899"/>
      <c r="M1909" s="899"/>
      <c r="N1909" s="899"/>
      <c r="O1909" s="899"/>
      <c r="P1909" s="899"/>
      <c r="Q1909" s="573"/>
      <c r="R1909" s="573"/>
      <c r="S1909" s="573"/>
      <c r="T1909" s="573"/>
      <c r="U1909" s="573"/>
      <c r="V1909" s="573"/>
      <c r="W1909" s="573"/>
      <c r="X1909" s="573"/>
      <c r="Y1909" s="573"/>
      <c r="Z1909" s="573"/>
    </row>
    <row r="1910" spans="1:26" ht="18.75">
      <c r="A1910" s="677"/>
      <c r="B1910" s="677"/>
      <c r="C1910" s="677"/>
      <c r="D1910" s="896"/>
      <c r="E1910" s="677"/>
      <c r="F1910" s="677"/>
      <c r="G1910" s="677"/>
      <c r="H1910" s="897"/>
      <c r="I1910" s="898"/>
      <c r="J1910" s="898"/>
      <c r="K1910" s="899"/>
      <c r="L1910" s="899"/>
      <c r="M1910" s="899"/>
      <c r="N1910" s="899"/>
      <c r="O1910" s="899"/>
      <c r="P1910" s="899"/>
      <c r="Q1910" s="573"/>
      <c r="R1910" s="573"/>
      <c r="S1910" s="573"/>
      <c r="T1910" s="573"/>
      <c r="U1910" s="573"/>
      <c r="V1910" s="573"/>
      <c r="W1910" s="573"/>
      <c r="X1910" s="573"/>
      <c r="Y1910" s="573"/>
      <c r="Z1910" s="573"/>
    </row>
    <row r="1911" spans="1:26" ht="18.75">
      <c r="A1911" s="677"/>
      <c r="B1911" s="677"/>
      <c r="C1911" s="677"/>
      <c r="D1911" s="896"/>
      <c r="E1911" s="677"/>
      <c r="F1911" s="677"/>
      <c r="G1911" s="677"/>
      <c r="H1911" s="897"/>
      <c r="I1911" s="898"/>
      <c r="J1911" s="898"/>
      <c r="K1911" s="899"/>
      <c r="L1911" s="899"/>
      <c r="M1911" s="899"/>
      <c r="N1911" s="899"/>
      <c r="O1911" s="899"/>
      <c r="P1911" s="899"/>
      <c r="Q1911" s="573"/>
      <c r="R1911" s="573"/>
      <c r="S1911" s="573"/>
      <c r="T1911" s="573"/>
      <c r="U1911" s="573"/>
      <c r="V1911" s="573"/>
      <c r="W1911" s="573"/>
      <c r="X1911" s="573"/>
      <c r="Y1911" s="573"/>
      <c r="Z1911" s="573"/>
    </row>
    <row r="1912" spans="1:26" ht="18.75">
      <c r="A1912" s="677"/>
      <c r="B1912" s="677"/>
      <c r="C1912" s="677"/>
      <c r="D1912" s="896"/>
      <c r="E1912" s="677"/>
      <c r="F1912" s="677"/>
      <c r="G1912" s="677"/>
      <c r="H1912" s="897"/>
      <c r="I1912" s="898"/>
      <c r="J1912" s="898"/>
      <c r="K1912" s="899"/>
      <c r="L1912" s="899"/>
      <c r="M1912" s="899"/>
      <c r="N1912" s="899"/>
      <c r="O1912" s="899"/>
      <c r="P1912" s="899"/>
      <c r="Q1912" s="573"/>
      <c r="R1912" s="573"/>
      <c r="S1912" s="573"/>
      <c r="T1912" s="573"/>
      <c r="U1912" s="573"/>
      <c r="V1912" s="573"/>
      <c r="W1912" s="573"/>
      <c r="X1912" s="573"/>
      <c r="Y1912" s="573"/>
      <c r="Z1912" s="573"/>
    </row>
    <row r="1913" spans="1:26" ht="18.75">
      <c r="A1913" s="677"/>
      <c r="B1913" s="677"/>
      <c r="C1913" s="677"/>
      <c r="D1913" s="896"/>
      <c r="E1913" s="677"/>
      <c r="F1913" s="677"/>
      <c r="G1913" s="677"/>
      <c r="H1913" s="897"/>
      <c r="I1913" s="898"/>
      <c r="J1913" s="898"/>
      <c r="K1913" s="899"/>
      <c r="L1913" s="899"/>
      <c r="M1913" s="899"/>
      <c r="N1913" s="899"/>
      <c r="O1913" s="899"/>
      <c r="P1913" s="899"/>
      <c r="Q1913" s="573"/>
      <c r="R1913" s="573"/>
      <c r="S1913" s="573"/>
      <c r="T1913" s="573"/>
      <c r="U1913" s="573"/>
      <c r="V1913" s="573"/>
      <c r="W1913" s="573"/>
      <c r="X1913" s="573"/>
      <c r="Y1913" s="573"/>
      <c r="Z1913" s="573"/>
    </row>
    <row r="1914" spans="1:26" ht="18.75">
      <c r="A1914" s="677"/>
      <c r="B1914" s="677"/>
      <c r="C1914" s="677"/>
      <c r="D1914" s="896"/>
      <c r="E1914" s="677"/>
      <c r="F1914" s="677"/>
      <c r="G1914" s="677"/>
      <c r="H1914" s="897"/>
      <c r="I1914" s="898"/>
      <c r="J1914" s="898"/>
      <c r="K1914" s="899"/>
      <c r="L1914" s="899"/>
      <c r="M1914" s="899"/>
      <c r="N1914" s="899"/>
      <c r="O1914" s="899"/>
      <c r="P1914" s="899"/>
      <c r="Q1914" s="573"/>
      <c r="R1914" s="573"/>
      <c r="S1914" s="573"/>
      <c r="T1914" s="573"/>
      <c r="U1914" s="573"/>
      <c r="V1914" s="573"/>
      <c r="W1914" s="573"/>
      <c r="X1914" s="573"/>
      <c r="Y1914" s="573"/>
      <c r="Z1914" s="573"/>
    </row>
    <row r="1915" spans="1:26" ht="18.75">
      <c r="A1915" s="677"/>
      <c r="B1915" s="677"/>
      <c r="C1915" s="677"/>
      <c r="D1915" s="896"/>
      <c r="E1915" s="677"/>
      <c r="F1915" s="677"/>
      <c r="G1915" s="677"/>
      <c r="H1915" s="897"/>
      <c r="I1915" s="898"/>
      <c r="J1915" s="898"/>
      <c r="K1915" s="899"/>
      <c r="L1915" s="899"/>
      <c r="M1915" s="899"/>
      <c r="N1915" s="899"/>
      <c r="O1915" s="899"/>
      <c r="P1915" s="899"/>
      <c r="Q1915" s="573"/>
      <c r="R1915" s="573"/>
      <c r="S1915" s="573"/>
      <c r="T1915" s="573"/>
      <c r="U1915" s="573"/>
      <c r="V1915" s="573"/>
      <c r="W1915" s="573"/>
      <c r="X1915" s="573"/>
      <c r="Y1915" s="573"/>
      <c r="Z1915" s="573"/>
    </row>
    <row r="1916" spans="1:26" ht="18.75">
      <c r="A1916" s="677"/>
      <c r="B1916" s="677"/>
      <c r="C1916" s="677"/>
      <c r="D1916" s="896"/>
      <c r="E1916" s="677"/>
      <c r="F1916" s="677"/>
      <c r="G1916" s="677"/>
      <c r="H1916" s="897"/>
      <c r="I1916" s="898"/>
      <c r="J1916" s="898"/>
      <c r="K1916" s="899"/>
      <c r="L1916" s="899"/>
      <c r="M1916" s="899"/>
      <c r="N1916" s="899"/>
      <c r="O1916" s="899"/>
      <c r="P1916" s="899"/>
      <c r="Q1916" s="573"/>
      <c r="R1916" s="573"/>
      <c r="S1916" s="573"/>
      <c r="T1916" s="573"/>
      <c r="U1916" s="573"/>
      <c r="V1916" s="573"/>
      <c r="W1916" s="573"/>
      <c r="X1916" s="573"/>
      <c r="Y1916" s="573"/>
      <c r="Z1916" s="573"/>
    </row>
    <row r="1917" spans="1:26" ht="18.75">
      <c r="A1917" s="677"/>
      <c r="B1917" s="677"/>
      <c r="C1917" s="677"/>
      <c r="D1917" s="896"/>
      <c r="E1917" s="677"/>
      <c r="F1917" s="677"/>
      <c r="G1917" s="677"/>
      <c r="H1917" s="897"/>
      <c r="I1917" s="898"/>
      <c r="J1917" s="898"/>
      <c r="K1917" s="899"/>
      <c r="L1917" s="899"/>
      <c r="M1917" s="899"/>
      <c r="N1917" s="899"/>
      <c r="O1917" s="899"/>
      <c r="P1917" s="899"/>
      <c r="Q1917" s="573"/>
      <c r="R1917" s="573"/>
      <c r="S1917" s="573"/>
      <c r="T1917" s="573"/>
      <c r="U1917" s="573"/>
      <c r="V1917" s="573"/>
      <c r="W1917" s="573"/>
      <c r="X1917" s="573"/>
      <c r="Y1917" s="573"/>
      <c r="Z1917" s="573"/>
    </row>
    <row r="1918" spans="1:26" ht="18.75">
      <c r="A1918" s="677"/>
      <c r="B1918" s="677"/>
      <c r="C1918" s="677"/>
      <c r="D1918" s="896"/>
      <c r="E1918" s="677"/>
      <c r="F1918" s="677"/>
      <c r="G1918" s="677"/>
      <c r="H1918" s="897"/>
      <c r="I1918" s="898"/>
      <c r="J1918" s="898"/>
      <c r="K1918" s="899"/>
      <c r="L1918" s="899"/>
      <c r="M1918" s="899"/>
      <c r="N1918" s="899"/>
      <c r="O1918" s="899"/>
      <c r="P1918" s="899"/>
      <c r="Q1918" s="573"/>
      <c r="R1918" s="573"/>
      <c r="S1918" s="573"/>
      <c r="T1918" s="573"/>
      <c r="U1918" s="573"/>
      <c r="V1918" s="573"/>
      <c r="W1918" s="573"/>
      <c r="X1918" s="573"/>
      <c r="Y1918" s="573"/>
      <c r="Z1918" s="573"/>
    </row>
    <row r="1919" spans="1:26" ht="18.75">
      <c r="A1919" s="677"/>
      <c r="B1919" s="677"/>
      <c r="C1919" s="677"/>
      <c r="D1919" s="896"/>
      <c r="E1919" s="677"/>
      <c r="F1919" s="677"/>
      <c r="G1919" s="677"/>
      <c r="H1919" s="897"/>
      <c r="I1919" s="898"/>
      <c r="J1919" s="898"/>
      <c r="K1919" s="899"/>
      <c r="L1919" s="899"/>
      <c r="M1919" s="899"/>
      <c r="N1919" s="899"/>
      <c r="O1919" s="899"/>
      <c r="P1919" s="899"/>
      <c r="Q1919" s="573"/>
      <c r="R1919" s="573"/>
      <c r="S1919" s="573"/>
      <c r="T1919" s="573"/>
      <c r="U1919" s="573"/>
      <c r="V1919" s="573"/>
      <c r="W1919" s="573"/>
      <c r="X1919" s="573"/>
      <c r="Y1919" s="573"/>
      <c r="Z1919" s="573"/>
    </row>
    <row r="1920" spans="1:26" ht="18.75">
      <c r="A1920" s="677"/>
      <c r="B1920" s="677"/>
      <c r="C1920" s="677"/>
      <c r="D1920" s="896"/>
      <c r="E1920" s="677"/>
      <c r="F1920" s="677"/>
      <c r="G1920" s="677"/>
      <c r="H1920" s="897"/>
      <c r="I1920" s="898"/>
      <c r="J1920" s="898"/>
      <c r="K1920" s="899"/>
      <c r="L1920" s="899"/>
      <c r="M1920" s="899"/>
      <c r="N1920" s="899"/>
      <c r="O1920" s="899"/>
      <c r="P1920" s="899"/>
      <c r="Q1920" s="573"/>
      <c r="R1920" s="573"/>
      <c r="S1920" s="573"/>
      <c r="T1920" s="573"/>
      <c r="U1920" s="573"/>
      <c r="V1920" s="573"/>
      <c r="W1920" s="573"/>
      <c r="X1920" s="573"/>
      <c r="Y1920" s="573"/>
      <c r="Z1920" s="573"/>
    </row>
    <row r="1921" spans="1:26" ht="18.75">
      <c r="A1921" s="677"/>
      <c r="B1921" s="677"/>
      <c r="C1921" s="677"/>
      <c r="D1921" s="896"/>
      <c r="E1921" s="677"/>
      <c r="F1921" s="677"/>
      <c r="G1921" s="677"/>
      <c r="H1921" s="897"/>
      <c r="I1921" s="898"/>
      <c r="J1921" s="898"/>
      <c r="K1921" s="899"/>
      <c r="L1921" s="899"/>
      <c r="M1921" s="899"/>
      <c r="N1921" s="899"/>
      <c r="O1921" s="899"/>
      <c r="P1921" s="899"/>
      <c r="Q1921" s="573"/>
      <c r="R1921" s="573"/>
      <c r="S1921" s="573"/>
      <c r="T1921" s="573"/>
      <c r="U1921" s="573"/>
      <c r="V1921" s="573"/>
      <c r="W1921" s="573"/>
      <c r="X1921" s="573"/>
      <c r="Y1921" s="573"/>
      <c r="Z1921" s="573"/>
    </row>
    <row r="1922" spans="1:26" ht="18.75">
      <c r="A1922" s="677"/>
      <c r="B1922" s="677"/>
      <c r="C1922" s="677"/>
      <c r="D1922" s="896"/>
      <c r="E1922" s="677"/>
      <c r="F1922" s="677"/>
      <c r="G1922" s="677"/>
      <c r="H1922" s="897"/>
      <c r="I1922" s="898"/>
      <c r="J1922" s="898"/>
      <c r="K1922" s="899"/>
      <c r="L1922" s="899"/>
      <c r="M1922" s="899"/>
      <c r="N1922" s="899"/>
      <c r="O1922" s="899"/>
      <c r="P1922" s="899"/>
      <c r="Q1922" s="573"/>
      <c r="R1922" s="573"/>
      <c r="S1922" s="573"/>
      <c r="T1922" s="573"/>
      <c r="U1922" s="573"/>
      <c r="V1922" s="573"/>
      <c r="W1922" s="573"/>
      <c r="X1922" s="573"/>
      <c r="Y1922" s="573"/>
      <c r="Z1922" s="573"/>
    </row>
    <row r="1923" spans="1:26" ht="18.75">
      <c r="A1923" s="677"/>
      <c r="B1923" s="677"/>
      <c r="C1923" s="677"/>
      <c r="D1923" s="896"/>
      <c r="E1923" s="677"/>
      <c r="F1923" s="677"/>
      <c r="G1923" s="677"/>
      <c r="H1923" s="897"/>
      <c r="I1923" s="898"/>
      <c r="J1923" s="898"/>
      <c r="K1923" s="899"/>
      <c r="L1923" s="899"/>
      <c r="M1923" s="899"/>
      <c r="N1923" s="899"/>
      <c r="O1923" s="899"/>
      <c r="P1923" s="899"/>
      <c r="Q1923" s="573"/>
      <c r="R1923" s="573"/>
      <c r="S1923" s="573"/>
      <c r="T1923" s="573"/>
      <c r="U1923" s="573"/>
      <c r="V1923" s="573"/>
      <c r="W1923" s="573"/>
      <c r="X1923" s="573"/>
      <c r="Y1923" s="573"/>
      <c r="Z1923" s="573"/>
    </row>
    <row r="1924" spans="1:26" ht="18.75">
      <c r="A1924" s="677"/>
      <c r="B1924" s="677"/>
      <c r="C1924" s="677"/>
      <c r="D1924" s="896"/>
      <c r="E1924" s="677"/>
      <c r="F1924" s="677"/>
      <c r="G1924" s="677"/>
      <c r="H1924" s="897"/>
      <c r="I1924" s="898"/>
      <c r="J1924" s="898"/>
      <c r="K1924" s="899"/>
      <c r="L1924" s="899"/>
      <c r="M1924" s="899"/>
      <c r="N1924" s="899"/>
      <c r="O1924" s="899"/>
      <c r="P1924" s="899"/>
      <c r="Q1924" s="573"/>
      <c r="R1924" s="573"/>
      <c r="S1924" s="573"/>
      <c r="T1924" s="573"/>
      <c r="U1924" s="573"/>
      <c r="V1924" s="573"/>
      <c r="W1924" s="573"/>
      <c r="X1924" s="573"/>
      <c r="Y1924" s="573"/>
      <c r="Z1924" s="573"/>
    </row>
    <row r="1925" spans="1:26" ht="18.75">
      <c r="A1925" s="677"/>
      <c r="B1925" s="677"/>
      <c r="C1925" s="677"/>
      <c r="D1925" s="896"/>
      <c r="E1925" s="677"/>
      <c r="F1925" s="677"/>
      <c r="G1925" s="677"/>
      <c r="H1925" s="897"/>
      <c r="I1925" s="898"/>
      <c r="J1925" s="898"/>
      <c r="K1925" s="899"/>
      <c r="L1925" s="899"/>
      <c r="M1925" s="899"/>
      <c r="N1925" s="899"/>
      <c r="O1925" s="899"/>
      <c r="P1925" s="899"/>
      <c r="Q1925" s="573"/>
      <c r="R1925" s="573"/>
      <c r="S1925" s="573"/>
      <c r="T1925" s="573"/>
      <c r="U1925" s="573"/>
      <c r="V1925" s="573"/>
      <c r="W1925" s="573"/>
      <c r="X1925" s="573"/>
      <c r="Y1925" s="573"/>
      <c r="Z1925" s="573"/>
    </row>
    <row r="1926" spans="1:26" ht="18.75">
      <c r="A1926" s="677"/>
      <c r="B1926" s="677"/>
      <c r="C1926" s="677"/>
      <c r="D1926" s="896"/>
      <c r="E1926" s="677"/>
      <c r="F1926" s="677"/>
      <c r="G1926" s="677"/>
      <c r="H1926" s="897"/>
      <c r="I1926" s="898"/>
      <c r="J1926" s="898"/>
      <c r="K1926" s="899"/>
      <c r="L1926" s="899"/>
      <c r="M1926" s="899"/>
      <c r="N1926" s="899"/>
      <c r="O1926" s="899"/>
      <c r="P1926" s="899"/>
      <c r="Q1926" s="573"/>
      <c r="R1926" s="573"/>
      <c r="S1926" s="573"/>
      <c r="T1926" s="573"/>
      <c r="U1926" s="573"/>
      <c r="V1926" s="573"/>
      <c r="W1926" s="573"/>
      <c r="X1926" s="573"/>
      <c r="Y1926" s="573"/>
      <c r="Z1926" s="573"/>
    </row>
    <row r="1927" spans="1:26" ht="18.75">
      <c r="A1927" s="677"/>
      <c r="B1927" s="677"/>
      <c r="C1927" s="677"/>
      <c r="D1927" s="896"/>
      <c r="E1927" s="677"/>
      <c r="F1927" s="677"/>
      <c r="G1927" s="677"/>
      <c r="H1927" s="897"/>
      <c r="I1927" s="898"/>
      <c r="J1927" s="898"/>
      <c r="K1927" s="899"/>
      <c r="L1927" s="899"/>
      <c r="M1927" s="899"/>
      <c r="N1927" s="899"/>
      <c r="O1927" s="899"/>
      <c r="P1927" s="899"/>
      <c r="Q1927" s="573"/>
      <c r="R1927" s="573"/>
      <c r="S1927" s="573"/>
      <c r="T1927" s="573"/>
      <c r="U1927" s="573"/>
      <c r="V1927" s="573"/>
      <c r="W1927" s="573"/>
      <c r="X1927" s="573"/>
      <c r="Y1927" s="573"/>
      <c r="Z1927" s="573"/>
    </row>
    <row r="1928" spans="1:26" ht="18.75">
      <c r="A1928" s="677"/>
      <c r="B1928" s="677"/>
      <c r="C1928" s="677"/>
      <c r="D1928" s="896"/>
      <c r="E1928" s="677"/>
      <c r="F1928" s="677"/>
      <c r="G1928" s="677"/>
      <c r="H1928" s="897"/>
      <c r="I1928" s="898"/>
      <c r="J1928" s="898"/>
      <c r="K1928" s="899"/>
      <c r="L1928" s="899"/>
      <c r="M1928" s="899"/>
      <c r="N1928" s="899"/>
      <c r="O1928" s="899"/>
      <c r="P1928" s="899"/>
      <c r="Q1928" s="573"/>
      <c r="R1928" s="573"/>
      <c r="S1928" s="573"/>
      <c r="T1928" s="573"/>
      <c r="U1928" s="573"/>
      <c r="V1928" s="573"/>
      <c r="W1928" s="573"/>
      <c r="X1928" s="573"/>
      <c r="Y1928" s="573"/>
      <c r="Z1928" s="573"/>
    </row>
    <row r="1929" spans="1:26" ht="18.75">
      <c r="A1929" s="677"/>
      <c r="B1929" s="677"/>
      <c r="C1929" s="677"/>
      <c r="D1929" s="896"/>
      <c r="E1929" s="677"/>
      <c r="F1929" s="677"/>
      <c r="G1929" s="677"/>
      <c r="H1929" s="897"/>
      <c r="I1929" s="898"/>
      <c r="J1929" s="898"/>
      <c r="K1929" s="899"/>
      <c r="L1929" s="899"/>
      <c r="M1929" s="899"/>
      <c r="N1929" s="899"/>
      <c r="O1929" s="899"/>
      <c r="P1929" s="899"/>
      <c r="Q1929" s="573"/>
      <c r="R1929" s="573"/>
      <c r="S1929" s="573"/>
      <c r="T1929" s="573"/>
      <c r="U1929" s="573"/>
      <c r="V1929" s="573"/>
      <c r="W1929" s="573"/>
      <c r="X1929" s="573"/>
      <c r="Y1929" s="573"/>
      <c r="Z1929" s="573"/>
    </row>
    <row r="1930" spans="1:26" ht="18.75">
      <c r="A1930" s="677"/>
      <c r="B1930" s="677"/>
      <c r="C1930" s="677"/>
      <c r="D1930" s="896"/>
      <c r="E1930" s="677"/>
      <c r="F1930" s="677"/>
      <c r="G1930" s="677"/>
      <c r="H1930" s="897"/>
      <c r="I1930" s="898"/>
      <c r="J1930" s="898"/>
      <c r="K1930" s="899"/>
      <c r="L1930" s="899"/>
      <c r="M1930" s="899"/>
      <c r="N1930" s="899"/>
      <c r="O1930" s="899"/>
      <c r="P1930" s="899"/>
      <c r="Q1930" s="573"/>
      <c r="R1930" s="573"/>
      <c r="S1930" s="573"/>
      <c r="T1930" s="573"/>
      <c r="U1930" s="573"/>
      <c r="V1930" s="573"/>
      <c r="W1930" s="573"/>
      <c r="X1930" s="573"/>
      <c r="Y1930" s="573"/>
      <c r="Z1930" s="573"/>
    </row>
    <row r="1931" spans="1:26" ht="18.75">
      <c r="A1931" s="677"/>
      <c r="B1931" s="677"/>
      <c r="C1931" s="677"/>
      <c r="D1931" s="896"/>
      <c r="E1931" s="677"/>
      <c r="F1931" s="677"/>
      <c r="G1931" s="677"/>
      <c r="H1931" s="897"/>
      <c r="I1931" s="898"/>
      <c r="J1931" s="898"/>
      <c r="K1931" s="899"/>
      <c r="L1931" s="899"/>
      <c r="M1931" s="899"/>
      <c r="N1931" s="899"/>
      <c r="O1931" s="899"/>
      <c r="P1931" s="899"/>
      <c r="Q1931" s="573"/>
      <c r="R1931" s="573"/>
      <c r="S1931" s="573"/>
      <c r="T1931" s="573"/>
      <c r="U1931" s="573"/>
      <c r="V1931" s="573"/>
      <c r="W1931" s="573"/>
      <c r="X1931" s="573"/>
      <c r="Y1931" s="573"/>
      <c r="Z1931" s="573"/>
    </row>
    <row r="1932" spans="1:26" ht="18.75">
      <c r="A1932" s="677"/>
      <c r="B1932" s="677"/>
      <c r="C1932" s="677"/>
      <c r="D1932" s="896"/>
      <c r="E1932" s="677"/>
      <c r="F1932" s="677"/>
      <c r="G1932" s="677"/>
      <c r="H1932" s="897"/>
      <c r="I1932" s="898"/>
      <c r="J1932" s="898"/>
      <c r="K1932" s="899"/>
      <c r="L1932" s="899"/>
      <c r="M1932" s="899"/>
      <c r="N1932" s="899"/>
      <c r="O1932" s="899"/>
      <c r="P1932" s="899"/>
      <c r="Q1932" s="573"/>
      <c r="R1932" s="573"/>
      <c r="S1932" s="573"/>
      <c r="T1932" s="573"/>
      <c r="U1932" s="573"/>
      <c r="V1932" s="573"/>
      <c r="W1932" s="573"/>
      <c r="X1932" s="573"/>
      <c r="Y1932" s="573"/>
      <c r="Z1932" s="573"/>
    </row>
    <row r="1933" spans="1:26" ht="18.75">
      <c r="A1933" s="677"/>
      <c r="B1933" s="677"/>
      <c r="C1933" s="677"/>
      <c r="D1933" s="896"/>
      <c r="E1933" s="677"/>
      <c r="F1933" s="677"/>
      <c r="G1933" s="677"/>
      <c r="H1933" s="897"/>
      <c r="I1933" s="898"/>
      <c r="J1933" s="898"/>
      <c r="K1933" s="899"/>
      <c r="L1933" s="899"/>
      <c r="M1933" s="899"/>
      <c r="N1933" s="899"/>
      <c r="O1933" s="899"/>
      <c r="P1933" s="899"/>
      <c r="Q1933" s="573"/>
      <c r="R1933" s="573"/>
      <c r="S1933" s="573"/>
      <c r="T1933" s="573"/>
      <c r="U1933" s="573"/>
      <c r="V1933" s="573"/>
      <c r="W1933" s="573"/>
      <c r="X1933" s="573"/>
      <c r="Y1933" s="573"/>
      <c r="Z1933" s="573"/>
    </row>
    <row r="1934" spans="1:26" ht="18.75">
      <c r="A1934" s="677"/>
      <c r="B1934" s="677"/>
      <c r="C1934" s="677"/>
      <c r="D1934" s="896"/>
      <c r="E1934" s="677"/>
      <c r="F1934" s="677"/>
      <c r="G1934" s="677"/>
      <c r="H1934" s="897"/>
      <c r="I1934" s="898"/>
      <c r="J1934" s="898"/>
      <c r="K1934" s="899"/>
      <c r="L1934" s="899"/>
      <c r="M1934" s="899"/>
      <c r="N1934" s="899"/>
      <c r="O1934" s="899"/>
      <c r="P1934" s="899"/>
      <c r="Q1934" s="573"/>
      <c r="R1934" s="573"/>
      <c r="S1934" s="573"/>
      <c r="T1934" s="573"/>
      <c r="U1934" s="573"/>
      <c r="V1934" s="573"/>
      <c r="W1934" s="573"/>
      <c r="X1934" s="573"/>
      <c r="Y1934" s="573"/>
      <c r="Z1934" s="573"/>
    </row>
    <row r="1935" spans="1:26" ht="18.75">
      <c r="A1935" s="677"/>
      <c r="B1935" s="677"/>
      <c r="C1935" s="677"/>
      <c r="D1935" s="896"/>
      <c r="E1935" s="677"/>
      <c r="F1935" s="677"/>
      <c r="G1935" s="677"/>
      <c r="H1935" s="897"/>
      <c r="I1935" s="898"/>
      <c r="J1935" s="898"/>
      <c r="K1935" s="899"/>
      <c r="L1935" s="899"/>
      <c r="M1935" s="899"/>
      <c r="N1935" s="899"/>
      <c r="O1935" s="899"/>
      <c r="P1935" s="899"/>
      <c r="Q1935" s="573"/>
      <c r="R1935" s="573"/>
      <c r="S1935" s="573"/>
      <c r="T1935" s="573"/>
      <c r="U1935" s="573"/>
      <c r="V1935" s="573"/>
      <c r="W1935" s="573"/>
      <c r="X1935" s="573"/>
      <c r="Y1935" s="573"/>
      <c r="Z1935" s="573"/>
    </row>
    <row r="1936" spans="1:26" ht="18.75">
      <c r="A1936" s="677"/>
      <c r="B1936" s="677"/>
      <c r="C1936" s="677"/>
      <c r="D1936" s="896"/>
      <c r="E1936" s="677"/>
      <c r="F1936" s="677"/>
      <c r="G1936" s="677"/>
      <c r="H1936" s="897"/>
      <c r="I1936" s="898"/>
      <c r="J1936" s="898"/>
      <c r="K1936" s="899"/>
      <c r="L1936" s="899"/>
      <c r="M1936" s="899"/>
      <c r="N1936" s="899"/>
      <c r="O1936" s="899"/>
      <c r="P1936" s="899"/>
      <c r="Q1936" s="573"/>
      <c r="R1936" s="573"/>
      <c r="S1936" s="573"/>
      <c r="T1936" s="573"/>
      <c r="U1936" s="573"/>
      <c r="V1936" s="573"/>
      <c r="W1936" s="573"/>
      <c r="X1936" s="573"/>
      <c r="Y1936" s="573"/>
      <c r="Z1936" s="573"/>
    </row>
    <row r="1937" spans="1:26" ht="18.75">
      <c r="A1937" s="677"/>
      <c r="B1937" s="677"/>
      <c r="C1937" s="677"/>
      <c r="D1937" s="896"/>
      <c r="E1937" s="677"/>
      <c r="F1937" s="677"/>
      <c r="G1937" s="677"/>
      <c r="H1937" s="897"/>
      <c r="I1937" s="898"/>
      <c r="J1937" s="898"/>
      <c r="K1937" s="899"/>
      <c r="L1937" s="899"/>
      <c r="M1937" s="899"/>
      <c r="N1937" s="899"/>
      <c r="O1937" s="899"/>
      <c r="P1937" s="899"/>
      <c r="Q1937" s="573"/>
      <c r="R1937" s="573"/>
      <c r="S1937" s="573"/>
      <c r="T1937" s="573"/>
      <c r="U1937" s="573"/>
      <c r="V1937" s="573"/>
      <c r="W1937" s="573"/>
      <c r="X1937" s="573"/>
      <c r="Y1937" s="573"/>
      <c r="Z1937" s="573"/>
    </row>
    <row r="1938" spans="1:26" ht="18.75">
      <c r="A1938" s="677"/>
      <c r="B1938" s="677"/>
      <c r="C1938" s="677"/>
      <c r="D1938" s="896"/>
      <c r="E1938" s="677"/>
      <c r="F1938" s="677"/>
      <c r="G1938" s="677"/>
      <c r="H1938" s="897"/>
      <c r="I1938" s="898"/>
      <c r="J1938" s="898"/>
      <c r="K1938" s="899"/>
      <c r="L1938" s="899"/>
      <c r="M1938" s="899"/>
      <c r="N1938" s="899"/>
      <c r="O1938" s="899"/>
      <c r="P1938" s="899"/>
      <c r="Q1938" s="573"/>
      <c r="R1938" s="573"/>
      <c r="S1938" s="573"/>
      <c r="T1938" s="573"/>
      <c r="U1938" s="573"/>
      <c r="V1938" s="573"/>
      <c r="W1938" s="573"/>
      <c r="X1938" s="573"/>
      <c r="Y1938" s="573"/>
      <c r="Z1938" s="573"/>
    </row>
    <row r="1939" spans="1:26" ht="18.75">
      <c r="A1939" s="677"/>
      <c r="B1939" s="677"/>
      <c r="C1939" s="677"/>
      <c r="D1939" s="896"/>
      <c r="E1939" s="677"/>
      <c r="F1939" s="677"/>
      <c r="G1939" s="677"/>
      <c r="H1939" s="897"/>
      <c r="I1939" s="898"/>
      <c r="J1939" s="898"/>
      <c r="K1939" s="899"/>
      <c r="L1939" s="899"/>
      <c r="M1939" s="899"/>
      <c r="N1939" s="899"/>
      <c r="O1939" s="899"/>
      <c r="P1939" s="899"/>
      <c r="Q1939" s="573"/>
      <c r="R1939" s="573"/>
      <c r="S1939" s="573"/>
      <c r="T1939" s="573"/>
      <c r="U1939" s="573"/>
      <c r="V1939" s="573"/>
      <c r="W1939" s="573"/>
      <c r="X1939" s="573"/>
      <c r="Y1939" s="573"/>
      <c r="Z1939" s="573"/>
    </row>
    <row r="1940" spans="1:26" ht="18.75">
      <c r="A1940" s="677"/>
      <c r="B1940" s="677"/>
      <c r="C1940" s="677"/>
      <c r="D1940" s="896"/>
      <c r="E1940" s="677"/>
      <c r="F1940" s="677"/>
      <c r="G1940" s="677"/>
      <c r="H1940" s="897"/>
      <c r="I1940" s="898"/>
      <c r="J1940" s="898"/>
      <c r="K1940" s="899"/>
      <c r="L1940" s="899"/>
      <c r="M1940" s="899"/>
      <c r="N1940" s="899"/>
      <c r="O1940" s="899"/>
      <c r="P1940" s="899"/>
      <c r="Q1940" s="573"/>
      <c r="R1940" s="573"/>
      <c r="S1940" s="573"/>
      <c r="T1940" s="573"/>
      <c r="U1940" s="573"/>
      <c r="V1940" s="573"/>
      <c r="W1940" s="573"/>
      <c r="X1940" s="573"/>
      <c r="Y1940" s="573"/>
      <c r="Z1940" s="573"/>
    </row>
    <row r="1941" spans="1:26" ht="18.75">
      <c r="A1941" s="677"/>
      <c r="B1941" s="677"/>
      <c r="C1941" s="677"/>
      <c r="D1941" s="896"/>
      <c r="E1941" s="677"/>
      <c r="F1941" s="677"/>
      <c r="G1941" s="677"/>
      <c r="H1941" s="897"/>
      <c r="I1941" s="898"/>
      <c r="J1941" s="898"/>
      <c r="K1941" s="899"/>
      <c r="L1941" s="899"/>
      <c r="M1941" s="899"/>
      <c r="N1941" s="899"/>
      <c r="O1941" s="899"/>
      <c r="P1941" s="899"/>
      <c r="Q1941" s="573"/>
      <c r="R1941" s="573"/>
      <c r="S1941" s="573"/>
      <c r="T1941" s="573"/>
      <c r="U1941" s="573"/>
      <c r="V1941" s="573"/>
      <c r="W1941" s="573"/>
      <c r="X1941" s="573"/>
      <c r="Y1941" s="573"/>
      <c r="Z1941" s="573"/>
    </row>
    <row r="1942" spans="1:26" ht="18.75">
      <c r="A1942" s="677"/>
      <c r="B1942" s="677"/>
      <c r="C1942" s="677"/>
      <c r="D1942" s="896"/>
      <c r="E1942" s="677"/>
      <c r="F1942" s="677"/>
      <c r="G1942" s="677"/>
      <c r="H1942" s="897"/>
      <c r="I1942" s="898"/>
      <c r="J1942" s="898"/>
      <c r="K1942" s="899"/>
      <c r="L1942" s="899"/>
      <c r="M1942" s="899"/>
      <c r="N1942" s="899"/>
      <c r="O1942" s="899"/>
      <c r="P1942" s="899"/>
      <c r="Q1942" s="573"/>
      <c r="R1942" s="573"/>
      <c r="S1942" s="573"/>
      <c r="T1942" s="573"/>
      <c r="U1942" s="573"/>
      <c r="V1942" s="573"/>
      <c r="W1942" s="573"/>
      <c r="X1942" s="573"/>
      <c r="Y1942" s="573"/>
      <c r="Z1942" s="573"/>
    </row>
    <row r="1943" spans="1:26" ht="18.75">
      <c r="A1943" s="677"/>
      <c r="B1943" s="677"/>
      <c r="C1943" s="677"/>
      <c r="D1943" s="896"/>
      <c r="E1943" s="677"/>
      <c r="F1943" s="677"/>
      <c r="G1943" s="677"/>
      <c r="H1943" s="897"/>
      <c r="I1943" s="898"/>
      <c r="J1943" s="898"/>
      <c r="K1943" s="899"/>
      <c r="L1943" s="899"/>
      <c r="M1943" s="899"/>
      <c r="N1943" s="899"/>
      <c r="O1943" s="899"/>
      <c r="P1943" s="899"/>
      <c r="Q1943" s="573"/>
      <c r="R1943" s="573"/>
      <c r="S1943" s="573"/>
      <c r="T1943" s="573"/>
      <c r="U1943" s="573"/>
      <c r="V1943" s="573"/>
      <c r="W1943" s="573"/>
      <c r="X1943" s="573"/>
      <c r="Y1943" s="573"/>
      <c r="Z1943" s="573"/>
    </row>
    <row r="1944" spans="1:26" ht="18.75">
      <c r="A1944" s="677"/>
      <c r="B1944" s="677"/>
      <c r="C1944" s="677"/>
      <c r="D1944" s="896"/>
      <c r="E1944" s="677"/>
      <c r="F1944" s="677"/>
      <c r="G1944" s="677"/>
      <c r="H1944" s="897"/>
      <c r="I1944" s="898"/>
      <c r="J1944" s="898"/>
      <c r="K1944" s="899"/>
      <c r="L1944" s="899"/>
      <c r="M1944" s="899"/>
      <c r="N1944" s="899"/>
      <c r="O1944" s="899"/>
      <c r="P1944" s="899"/>
      <c r="Q1944" s="573"/>
      <c r="R1944" s="573"/>
      <c r="S1944" s="573"/>
      <c r="T1944" s="573"/>
      <c r="U1944" s="573"/>
      <c r="V1944" s="573"/>
      <c r="W1944" s="573"/>
      <c r="X1944" s="573"/>
      <c r="Y1944" s="573"/>
      <c r="Z1944" s="573"/>
    </row>
    <row r="1945" spans="1:26" ht="18.75">
      <c r="A1945" s="677"/>
      <c r="B1945" s="677"/>
      <c r="C1945" s="677"/>
      <c r="D1945" s="896"/>
      <c r="E1945" s="677"/>
      <c r="F1945" s="677"/>
      <c r="G1945" s="677"/>
      <c r="H1945" s="897"/>
      <c r="I1945" s="898"/>
      <c r="J1945" s="898"/>
      <c r="K1945" s="899"/>
      <c r="L1945" s="899"/>
      <c r="M1945" s="899"/>
      <c r="N1945" s="899"/>
      <c r="O1945" s="899"/>
      <c r="P1945" s="899"/>
      <c r="Q1945" s="573"/>
      <c r="R1945" s="573"/>
      <c r="S1945" s="573"/>
      <c r="T1945" s="573"/>
      <c r="U1945" s="573"/>
      <c r="V1945" s="573"/>
      <c r="W1945" s="573"/>
      <c r="X1945" s="573"/>
      <c r="Y1945" s="573"/>
      <c r="Z1945" s="573"/>
    </row>
    <row r="1946" spans="1:26" ht="18.75">
      <c r="A1946" s="677"/>
      <c r="B1946" s="677"/>
      <c r="C1946" s="677"/>
      <c r="D1946" s="896"/>
      <c r="E1946" s="677"/>
      <c r="F1946" s="677"/>
      <c r="G1946" s="677"/>
      <c r="H1946" s="897"/>
      <c r="I1946" s="898"/>
      <c r="J1946" s="898"/>
      <c r="K1946" s="899"/>
      <c r="L1946" s="899"/>
      <c r="M1946" s="899"/>
      <c r="N1946" s="899"/>
      <c r="O1946" s="899"/>
      <c r="P1946" s="899"/>
      <c r="Q1946" s="573"/>
      <c r="R1946" s="573"/>
      <c r="S1946" s="573"/>
      <c r="T1946" s="573"/>
      <c r="U1946" s="573"/>
      <c r="V1946" s="573"/>
      <c r="W1946" s="573"/>
      <c r="X1946" s="573"/>
      <c r="Y1946" s="573"/>
      <c r="Z1946" s="573"/>
    </row>
    <row r="1947" spans="1:26" ht="18.75">
      <c r="A1947" s="677"/>
      <c r="B1947" s="677"/>
      <c r="C1947" s="677"/>
      <c r="D1947" s="896"/>
      <c r="E1947" s="677"/>
      <c r="F1947" s="677"/>
      <c r="G1947" s="677"/>
      <c r="H1947" s="897"/>
      <c r="I1947" s="898"/>
      <c r="J1947" s="898"/>
      <c r="K1947" s="899"/>
      <c r="L1947" s="899"/>
      <c r="M1947" s="899"/>
      <c r="N1947" s="899"/>
      <c r="O1947" s="899"/>
      <c r="P1947" s="899"/>
      <c r="Q1947" s="573"/>
      <c r="R1947" s="573"/>
      <c r="S1947" s="573"/>
      <c r="T1947" s="573"/>
      <c r="U1947" s="573"/>
      <c r="V1947" s="573"/>
      <c r="W1947" s="573"/>
      <c r="X1947" s="573"/>
      <c r="Y1947" s="573"/>
      <c r="Z1947" s="573"/>
    </row>
    <row r="1948" spans="1:26" ht="18.75">
      <c r="A1948" s="677"/>
      <c r="B1948" s="677"/>
      <c r="C1948" s="677"/>
      <c r="D1948" s="896"/>
      <c r="E1948" s="677"/>
      <c r="F1948" s="677"/>
      <c r="G1948" s="677"/>
      <c r="H1948" s="897"/>
      <c r="I1948" s="898"/>
      <c r="J1948" s="898"/>
      <c r="K1948" s="899"/>
      <c r="L1948" s="899"/>
      <c r="M1948" s="899"/>
      <c r="N1948" s="899"/>
      <c r="O1948" s="899"/>
      <c r="P1948" s="899"/>
      <c r="Q1948" s="573"/>
      <c r="R1948" s="573"/>
      <c r="S1948" s="573"/>
      <c r="T1948" s="573"/>
      <c r="U1948" s="573"/>
      <c r="V1948" s="573"/>
      <c r="W1948" s="573"/>
      <c r="X1948" s="573"/>
      <c r="Y1948" s="573"/>
      <c r="Z1948" s="573"/>
    </row>
    <row r="1949" spans="1:26" ht="18.75">
      <c r="A1949" s="677"/>
      <c r="B1949" s="677"/>
      <c r="C1949" s="677"/>
      <c r="D1949" s="896"/>
      <c r="E1949" s="677"/>
      <c r="F1949" s="677"/>
      <c r="G1949" s="677"/>
      <c r="H1949" s="897"/>
      <c r="I1949" s="898"/>
      <c r="J1949" s="898"/>
      <c r="K1949" s="899"/>
      <c r="L1949" s="899"/>
      <c r="M1949" s="899"/>
      <c r="N1949" s="899"/>
      <c r="O1949" s="899"/>
      <c r="P1949" s="899"/>
      <c r="Q1949" s="573"/>
      <c r="R1949" s="573"/>
      <c r="S1949" s="573"/>
      <c r="T1949" s="573"/>
      <c r="U1949" s="573"/>
      <c r="V1949" s="573"/>
      <c r="W1949" s="573"/>
      <c r="X1949" s="573"/>
      <c r="Y1949" s="573"/>
      <c r="Z1949" s="573"/>
    </row>
    <row r="1950" spans="1:26" ht="18.75">
      <c r="A1950" s="677"/>
      <c r="B1950" s="677"/>
      <c r="C1950" s="677"/>
      <c r="D1950" s="896"/>
      <c r="E1950" s="677"/>
      <c r="F1950" s="677"/>
      <c r="G1950" s="677"/>
      <c r="H1950" s="897"/>
      <c r="I1950" s="898"/>
      <c r="J1950" s="898"/>
      <c r="K1950" s="899"/>
      <c r="L1950" s="899"/>
      <c r="M1950" s="899"/>
      <c r="N1950" s="899"/>
      <c r="O1950" s="899"/>
      <c r="P1950" s="899"/>
      <c r="Q1950" s="573"/>
      <c r="R1950" s="573"/>
      <c r="S1950" s="573"/>
      <c r="T1950" s="573"/>
      <c r="U1950" s="573"/>
      <c r="V1950" s="573"/>
      <c r="W1950" s="573"/>
      <c r="X1950" s="573"/>
      <c r="Y1950" s="573"/>
      <c r="Z1950" s="573"/>
    </row>
    <row r="1951" spans="1:26" ht="18.75">
      <c r="A1951" s="677"/>
      <c r="B1951" s="677"/>
      <c r="C1951" s="677"/>
      <c r="D1951" s="896"/>
      <c r="E1951" s="677"/>
      <c r="F1951" s="677"/>
      <c r="G1951" s="677"/>
      <c r="H1951" s="897"/>
      <c r="I1951" s="898"/>
      <c r="J1951" s="898"/>
      <c r="K1951" s="899"/>
      <c r="L1951" s="899"/>
      <c r="M1951" s="899"/>
      <c r="N1951" s="899"/>
      <c r="O1951" s="899"/>
      <c r="P1951" s="899"/>
      <c r="Q1951" s="573"/>
      <c r="R1951" s="573"/>
      <c r="S1951" s="573"/>
      <c r="T1951" s="573"/>
      <c r="U1951" s="573"/>
      <c r="V1951" s="573"/>
      <c r="W1951" s="573"/>
      <c r="X1951" s="573"/>
      <c r="Y1951" s="573"/>
      <c r="Z1951" s="573"/>
    </row>
    <row r="1952" spans="1:26" ht="18.75">
      <c r="A1952" s="677"/>
      <c r="B1952" s="677"/>
      <c r="C1952" s="677"/>
      <c r="D1952" s="896"/>
      <c r="E1952" s="677"/>
      <c r="F1952" s="677"/>
      <c r="G1952" s="677"/>
      <c r="H1952" s="897"/>
      <c r="I1952" s="898"/>
      <c r="J1952" s="898"/>
      <c r="K1952" s="899"/>
      <c r="L1952" s="899"/>
      <c r="M1952" s="899"/>
      <c r="N1952" s="899"/>
      <c r="O1952" s="899"/>
      <c r="P1952" s="899"/>
      <c r="Q1952" s="573"/>
      <c r="R1952" s="573"/>
      <c r="S1952" s="573"/>
      <c r="T1952" s="573"/>
      <c r="U1952" s="573"/>
      <c r="V1952" s="573"/>
      <c r="W1952" s="573"/>
      <c r="X1952" s="573"/>
      <c r="Y1952" s="573"/>
      <c r="Z1952" s="573"/>
    </row>
    <row r="1953" spans="1:26" ht="18.75">
      <c r="A1953" s="677"/>
      <c r="B1953" s="677"/>
      <c r="C1953" s="677"/>
      <c r="D1953" s="896"/>
      <c r="E1953" s="677"/>
      <c r="F1953" s="677"/>
      <c r="G1953" s="677"/>
      <c r="H1953" s="897"/>
      <c r="I1953" s="898"/>
      <c r="J1953" s="898"/>
      <c r="K1953" s="899"/>
      <c r="L1953" s="899"/>
      <c r="M1953" s="899"/>
      <c r="N1953" s="899"/>
      <c r="O1953" s="899"/>
      <c r="P1953" s="899"/>
      <c r="Q1953" s="573"/>
      <c r="R1953" s="573"/>
      <c r="S1953" s="573"/>
      <c r="T1953" s="573"/>
      <c r="U1953" s="573"/>
      <c r="V1953" s="573"/>
      <c r="W1953" s="573"/>
      <c r="X1953" s="573"/>
      <c r="Y1953" s="573"/>
      <c r="Z1953" s="573"/>
    </row>
    <row r="1954" spans="1:26" ht="18.75">
      <c r="A1954" s="677"/>
      <c r="B1954" s="677"/>
      <c r="C1954" s="677"/>
      <c r="D1954" s="896"/>
      <c r="E1954" s="677"/>
      <c r="F1954" s="677"/>
      <c r="G1954" s="677"/>
      <c r="H1954" s="897"/>
      <c r="I1954" s="898"/>
      <c r="J1954" s="898"/>
      <c r="K1954" s="899"/>
      <c r="L1954" s="899"/>
      <c r="M1954" s="899"/>
      <c r="N1954" s="899"/>
      <c r="O1954" s="899"/>
      <c r="P1954" s="899"/>
      <c r="Q1954" s="573"/>
      <c r="R1954" s="573"/>
      <c r="S1954" s="573"/>
      <c r="T1954" s="573"/>
      <c r="U1954" s="573"/>
      <c r="V1954" s="573"/>
      <c r="W1954" s="573"/>
      <c r="X1954" s="573"/>
      <c r="Y1954" s="573"/>
      <c r="Z1954" s="573"/>
    </row>
    <row r="1955" spans="1:26" ht="18.75">
      <c r="A1955" s="677"/>
      <c r="B1955" s="677"/>
      <c r="C1955" s="677"/>
      <c r="D1955" s="896"/>
      <c r="E1955" s="677"/>
      <c r="F1955" s="677"/>
      <c r="G1955" s="677"/>
      <c r="H1955" s="897"/>
      <c r="I1955" s="898"/>
      <c r="J1955" s="898"/>
      <c r="K1955" s="899"/>
      <c r="L1955" s="899"/>
      <c r="M1955" s="899"/>
      <c r="N1955" s="899"/>
      <c r="O1955" s="899"/>
      <c r="P1955" s="899"/>
      <c r="Q1955" s="573"/>
      <c r="R1955" s="573"/>
      <c r="S1955" s="573"/>
      <c r="T1955" s="573"/>
      <c r="U1955" s="573"/>
      <c r="V1955" s="573"/>
      <c r="W1955" s="573"/>
      <c r="X1955" s="573"/>
      <c r="Y1955" s="573"/>
      <c r="Z1955" s="573"/>
    </row>
    <row r="1956" spans="1:26" ht="18.75">
      <c r="A1956" s="677"/>
      <c r="B1956" s="677"/>
      <c r="C1956" s="677"/>
      <c r="D1956" s="896"/>
      <c r="E1956" s="677"/>
      <c r="F1956" s="677"/>
      <c r="G1956" s="677"/>
      <c r="H1956" s="897"/>
      <c r="I1956" s="898"/>
      <c r="J1956" s="898"/>
      <c r="K1956" s="899"/>
      <c r="L1956" s="899"/>
      <c r="M1956" s="899"/>
      <c r="N1956" s="899"/>
      <c r="O1956" s="899"/>
      <c r="P1956" s="899"/>
      <c r="Q1956" s="573"/>
      <c r="R1956" s="573"/>
      <c r="S1956" s="573"/>
      <c r="T1956" s="573"/>
      <c r="U1956" s="573"/>
      <c r="V1956" s="573"/>
      <c r="W1956" s="573"/>
      <c r="X1956" s="573"/>
      <c r="Y1956" s="573"/>
      <c r="Z1956" s="573"/>
    </row>
    <row r="1957" spans="1:26" ht="18.75">
      <c r="A1957" s="677"/>
      <c r="B1957" s="677"/>
      <c r="C1957" s="677"/>
      <c r="D1957" s="896"/>
      <c r="E1957" s="677"/>
      <c r="F1957" s="677"/>
      <c r="G1957" s="677"/>
      <c r="H1957" s="897"/>
      <c r="I1957" s="898"/>
      <c r="J1957" s="898"/>
      <c r="K1957" s="899"/>
      <c r="L1957" s="899"/>
      <c r="M1957" s="899"/>
      <c r="N1957" s="899"/>
      <c r="O1957" s="899"/>
      <c r="P1957" s="899"/>
      <c r="Q1957" s="573"/>
      <c r="R1957" s="573"/>
      <c r="S1957" s="573"/>
      <c r="T1957" s="573"/>
      <c r="U1957" s="573"/>
      <c r="V1957" s="573"/>
      <c r="W1957" s="573"/>
      <c r="X1957" s="573"/>
      <c r="Y1957" s="573"/>
      <c r="Z1957" s="573"/>
    </row>
    <row r="1958" spans="1:26" ht="18.75">
      <c r="A1958" s="677"/>
      <c r="B1958" s="677"/>
      <c r="C1958" s="677"/>
      <c r="D1958" s="896"/>
      <c r="E1958" s="677"/>
      <c r="F1958" s="677"/>
      <c r="G1958" s="677"/>
      <c r="H1958" s="897"/>
      <c r="I1958" s="898"/>
      <c r="J1958" s="898"/>
      <c r="K1958" s="899"/>
      <c r="L1958" s="899"/>
      <c r="M1958" s="899"/>
      <c r="N1958" s="899"/>
      <c r="O1958" s="899"/>
      <c r="P1958" s="899"/>
      <c r="Q1958" s="573"/>
      <c r="R1958" s="573"/>
      <c r="S1958" s="573"/>
      <c r="T1958" s="573"/>
      <c r="U1958" s="573"/>
      <c r="V1958" s="573"/>
      <c r="W1958" s="573"/>
      <c r="X1958" s="573"/>
      <c r="Y1958" s="573"/>
      <c r="Z1958" s="573"/>
    </row>
    <row r="1959" spans="1:26" ht="18.75">
      <c r="A1959" s="677"/>
      <c r="B1959" s="677"/>
      <c r="C1959" s="677"/>
      <c r="D1959" s="896"/>
      <c r="E1959" s="677"/>
      <c r="F1959" s="677"/>
      <c r="G1959" s="677"/>
      <c r="H1959" s="897"/>
      <c r="I1959" s="898"/>
      <c r="J1959" s="898"/>
      <c r="K1959" s="899"/>
      <c r="L1959" s="899"/>
      <c r="M1959" s="899"/>
      <c r="N1959" s="899"/>
      <c r="O1959" s="899"/>
      <c r="P1959" s="899"/>
      <c r="Q1959" s="573"/>
      <c r="R1959" s="573"/>
      <c r="S1959" s="573"/>
      <c r="T1959" s="573"/>
      <c r="U1959" s="573"/>
      <c r="V1959" s="573"/>
      <c r="W1959" s="573"/>
      <c r="X1959" s="573"/>
      <c r="Y1959" s="573"/>
      <c r="Z1959" s="573"/>
    </row>
    <row r="1960" spans="1:26" ht="18.75">
      <c r="A1960" s="677"/>
      <c r="B1960" s="677"/>
      <c r="C1960" s="677"/>
      <c r="D1960" s="896"/>
      <c r="E1960" s="677"/>
      <c r="F1960" s="677"/>
      <c r="G1960" s="677"/>
      <c r="H1960" s="897"/>
      <c r="I1960" s="898"/>
      <c r="J1960" s="898"/>
      <c r="K1960" s="899"/>
      <c r="L1960" s="899"/>
      <c r="M1960" s="899"/>
      <c r="N1960" s="899"/>
      <c r="O1960" s="899"/>
      <c r="P1960" s="899"/>
      <c r="Q1960" s="573"/>
      <c r="R1960" s="573"/>
      <c r="S1960" s="573"/>
      <c r="T1960" s="573"/>
      <c r="U1960" s="573"/>
      <c r="V1960" s="573"/>
      <c r="W1960" s="573"/>
      <c r="X1960" s="573"/>
      <c r="Y1960" s="573"/>
      <c r="Z1960" s="573"/>
    </row>
    <row r="1961" spans="1:26" ht="18.75">
      <c r="A1961" s="677"/>
      <c r="B1961" s="677"/>
      <c r="C1961" s="677"/>
      <c r="D1961" s="896"/>
      <c r="E1961" s="677"/>
      <c r="F1961" s="677"/>
      <c r="G1961" s="677"/>
      <c r="H1961" s="897"/>
      <c r="I1961" s="898"/>
      <c r="J1961" s="898"/>
      <c r="K1961" s="899"/>
      <c r="L1961" s="899"/>
      <c r="M1961" s="899"/>
      <c r="N1961" s="899"/>
      <c r="O1961" s="899"/>
      <c r="P1961" s="899"/>
      <c r="Q1961" s="573"/>
      <c r="R1961" s="573"/>
      <c r="S1961" s="573"/>
      <c r="T1961" s="573"/>
      <c r="U1961" s="573"/>
      <c r="V1961" s="573"/>
      <c r="W1961" s="573"/>
      <c r="X1961" s="573"/>
      <c r="Y1961" s="573"/>
      <c r="Z1961" s="573"/>
    </row>
    <row r="1962" spans="1:26" ht="18.75">
      <c r="A1962" s="677"/>
      <c r="B1962" s="677"/>
      <c r="C1962" s="677"/>
      <c r="D1962" s="896"/>
      <c r="E1962" s="677"/>
      <c r="F1962" s="677"/>
      <c r="G1962" s="677"/>
      <c r="H1962" s="897"/>
      <c r="I1962" s="898"/>
      <c r="J1962" s="898"/>
      <c r="K1962" s="899"/>
      <c r="L1962" s="899"/>
      <c r="M1962" s="899"/>
      <c r="N1962" s="899"/>
      <c r="O1962" s="899"/>
      <c r="P1962" s="899"/>
      <c r="Q1962" s="573"/>
      <c r="R1962" s="573"/>
      <c r="S1962" s="573"/>
      <c r="T1962" s="573"/>
      <c r="U1962" s="573"/>
      <c r="V1962" s="573"/>
      <c r="W1962" s="573"/>
      <c r="X1962" s="573"/>
      <c r="Y1962" s="573"/>
      <c r="Z1962" s="573"/>
    </row>
    <row r="1963" spans="1:26" ht="18.75">
      <c r="A1963" s="677"/>
      <c r="B1963" s="677"/>
      <c r="C1963" s="677"/>
      <c r="D1963" s="896"/>
      <c r="E1963" s="677"/>
      <c r="F1963" s="677"/>
      <c r="G1963" s="677"/>
      <c r="H1963" s="897"/>
      <c r="I1963" s="898"/>
      <c r="J1963" s="898"/>
      <c r="K1963" s="899"/>
      <c r="L1963" s="899"/>
      <c r="M1963" s="899"/>
      <c r="N1963" s="899"/>
      <c r="O1963" s="899"/>
      <c r="P1963" s="899"/>
      <c r="Q1963" s="573"/>
      <c r="R1963" s="573"/>
      <c r="S1963" s="573"/>
      <c r="T1963" s="573"/>
      <c r="U1963" s="573"/>
      <c r="V1963" s="573"/>
      <c r="W1963" s="573"/>
      <c r="X1963" s="573"/>
      <c r="Y1963" s="573"/>
      <c r="Z1963" s="573"/>
    </row>
    <row r="1964" spans="1:26" ht="18.75">
      <c r="A1964" s="677"/>
      <c r="B1964" s="677"/>
      <c r="C1964" s="677"/>
      <c r="D1964" s="896"/>
      <c r="E1964" s="677"/>
      <c r="F1964" s="677"/>
      <c r="G1964" s="677"/>
      <c r="H1964" s="897"/>
      <c r="I1964" s="898"/>
      <c r="J1964" s="898"/>
      <c r="K1964" s="899"/>
      <c r="L1964" s="899"/>
      <c r="M1964" s="899"/>
      <c r="N1964" s="899"/>
      <c r="O1964" s="899"/>
      <c r="P1964" s="899"/>
      <c r="Q1964" s="573"/>
      <c r="R1964" s="573"/>
      <c r="S1964" s="573"/>
      <c r="T1964" s="573"/>
      <c r="U1964" s="573"/>
      <c r="V1964" s="573"/>
      <c r="W1964" s="573"/>
      <c r="X1964" s="573"/>
      <c r="Y1964" s="573"/>
      <c r="Z1964" s="573"/>
    </row>
    <row r="1965" spans="1:26" ht="18.75">
      <c r="A1965" s="677"/>
      <c r="B1965" s="677"/>
      <c r="C1965" s="677"/>
      <c r="D1965" s="896"/>
      <c r="E1965" s="677"/>
      <c r="F1965" s="677"/>
      <c r="G1965" s="677"/>
      <c r="H1965" s="897"/>
      <c r="I1965" s="898"/>
      <c r="J1965" s="898"/>
      <c r="K1965" s="899"/>
      <c r="L1965" s="899"/>
      <c r="M1965" s="899"/>
      <c r="N1965" s="899"/>
      <c r="O1965" s="899"/>
      <c r="P1965" s="899"/>
      <c r="Q1965" s="573"/>
      <c r="R1965" s="573"/>
      <c r="S1965" s="573"/>
      <c r="T1965" s="573"/>
      <c r="U1965" s="573"/>
      <c r="V1965" s="573"/>
      <c r="W1965" s="573"/>
      <c r="X1965" s="573"/>
      <c r="Y1965" s="573"/>
      <c r="Z1965" s="573"/>
    </row>
    <row r="1966" spans="1:26" ht="18.75">
      <c r="A1966" s="677"/>
      <c r="B1966" s="677"/>
      <c r="C1966" s="677"/>
      <c r="D1966" s="896"/>
      <c r="E1966" s="677"/>
      <c r="F1966" s="677"/>
      <c r="G1966" s="677"/>
      <c r="H1966" s="897"/>
      <c r="I1966" s="898"/>
      <c r="J1966" s="898"/>
      <c r="K1966" s="899"/>
      <c r="L1966" s="899"/>
      <c r="M1966" s="899"/>
      <c r="N1966" s="899"/>
      <c r="O1966" s="899"/>
      <c r="P1966" s="899"/>
      <c r="Q1966" s="573"/>
      <c r="R1966" s="573"/>
      <c r="S1966" s="573"/>
      <c r="T1966" s="573"/>
      <c r="U1966" s="573"/>
      <c r="V1966" s="573"/>
      <c r="W1966" s="573"/>
      <c r="X1966" s="573"/>
      <c r="Y1966" s="573"/>
      <c r="Z1966" s="573"/>
    </row>
    <row r="1967" spans="1:26" ht="18.75">
      <c r="A1967" s="677"/>
      <c r="B1967" s="677"/>
      <c r="C1967" s="677"/>
      <c r="D1967" s="896"/>
      <c r="E1967" s="677"/>
      <c r="F1967" s="677"/>
      <c r="G1967" s="677"/>
      <c r="H1967" s="897"/>
      <c r="I1967" s="898"/>
      <c r="J1967" s="898"/>
      <c r="K1967" s="899"/>
      <c r="L1967" s="899"/>
      <c r="M1967" s="899"/>
      <c r="N1967" s="899"/>
      <c r="O1967" s="899"/>
      <c r="P1967" s="899"/>
      <c r="Q1967" s="573"/>
      <c r="R1967" s="573"/>
      <c r="S1967" s="573"/>
      <c r="T1967" s="573"/>
      <c r="U1967" s="573"/>
      <c r="V1967" s="573"/>
      <c r="W1967" s="573"/>
      <c r="X1967" s="573"/>
      <c r="Y1967" s="573"/>
      <c r="Z1967" s="573"/>
    </row>
    <row r="1968" spans="1:26" ht="18.75">
      <c r="A1968" s="677"/>
      <c r="B1968" s="677"/>
      <c r="C1968" s="677"/>
      <c r="D1968" s="896"/>
      <c r="E1968" s="677"/>
      <c r="F1968" s="677"/>
      <c r="G1968" s="677"/>
      <c r="H1968" s="897"/>
      <c r="I1968" s="898"/>
      <c r="J1968" s="898"/>
      <c r="K1968" s="899"/>
      <c r="L1968" s="899"/>
      <c r="M1968" s="899"/>
      <c r="N1968" s="899"/>
      <c r="O1968" s="899"/>
      <c r="P1968" s="899"/>
      <c r="Q1968" s="573"/>
      <c r="R1968" s="573"/>
      <c r="S1968" s="573"/>
      <c r="T1968" s="573"/>
      <c r="U1968" s="573"/>
      <c r="V1968" s="573"/>
      <c r="W1968" s="573"/>
      <c r="X1968" s="573"/>
      <c r="Y1968" s="573"/>
      <c r="Z1968" s="573"/>
    </row>
    <row r="1969" spans="1:26" ht="18.75">
      <c r="A1969" s="677"/>
      <c r="B1969" s="677"/>
      <c r="C1969" s="677"/>
      <c r="D1969" s="896"/>
      <c r="E1969" s="677"/>
      <c r="F1969" s="677"/>
      <c r="G1969" s="677"/>
      <c r="H1969" s="897"/>
      <c r="I1969" s="898"/>
      <c r="J1969" s="898"/>
      <c r="K1969" s="899"/>
      <c r="L1969" s="899"/>
      <c r="M1969" s="899"/>
      <c r="N1969" s="899"/>
      <c r="O1969" s="899"/>
      <c r="P1969" s="899"/>
      <c r="Q1969" s="573"/>
      <c r="R1969" s="573"/>
      <c r="S1969" s="573"/>
      <c r="T1969" s="573"/>
      <c r="U1969" s="573"/>
      <c r="V1969" s="573"/>
      <c r="W1969" s="573"/>
      <c r="X1969" s="573"/>
      <c r="Y1969" s="573"/>
      <c r="Z1969" s="573"/>
    </row>
    <row r="1970" spans="1:26" ht="18.75">
      <c r="A1970" s="677"/>
      <c r="B1970" s="677"/>
      <c r="C1970" s="677"/>
      <c r="D1970" s="896"/>
      <c r="E1970" s="677"/>
      <c r="F1970" s="677"/>
      <c r="G1970" s="677"/>
      <c r="H1970" s="897"/>
      <c r="I1970" s="898"/>
      <c r="J1970" s="898"/>
      <c r="K1970" s="899"/>
      <c r="L1970" s="899"/>
      <c r="M1970" s="899"/>
      <c r="N1970" s="899"/>
      <c r="O1970" s="899"/>
      <c r="P1970" s="899"/>
      <c r="Q1970" s="573"/>
      <c r="R1970" s="573"/>
      <c r="S1970" s="573"/>
      <c r="T1970" s="573"/>
      <c r="U1970" s="573"/>
      <c r="V1970" s="573"/>
      <c r="W1970" s="573"/>
      <c r="X1970" s="573"/>
      <c r="Y1970" s="573"/>
      <c r="Z1970" s="573"/>
    </row>
    <row r="1971" spans="1:26" ht="18.75">
      <c r="A1971" s="677"/>
      <c r="B1971" s="677"/>
      <c r="C1971" s="677"/>
      <c r="D1971" s="896"/>
      <c r="E1971" s="677"/>
      <c r="F1971" s="677"/>
      <c r="G1971" s="677"/>
      <c r="H1971" s="897"/>
      <c r="I1971" s="898"/>
      <c r="J1971" s="898"/>
      <c r="K1971" s="899"/>
      <c r="L1971" s="899"/>
      <c r="M1971" s="899"/>
      <c r="N1971" s="899"/>
      <c r="O1971" s="899"/>
      <c r="P1971" s="899"/>
      <c r="Q1971" s="573"/>
      <c r="R1971" s="573"/>
      <c r="S1971" s="573"/>
      <c r="T1971" s="573"/>
      <c r="U1971" s="573"/>
      <c r="V1971" s="573"/>
      <c r="W1971" s="573"/>
      <c r="X1971" s="573"/>
      <c r="Y1971" s="573"/>
      <c r="Z1971" s="573"/>
    </row>
    <row r="1972" spans="1:26" ht="18.75">
      <c r="A1972" s="677"/>
      <c r="B1972" s="677"/>
      <c r="C1972" s="677"/>
      <c r="D1972" s="896"/>
      <c r="E1972" s="677"/>
      <c r="F1972" s="677"/>
      <c r="G1972" s="677"/>
      <c r="H1972" s="897"/>
      <c r="I1972" s="898"/>
      <c r="J1972" s="898"/>
      <c r="K1972" s="899"/>
      <c r="L1972" s="899"/>
      <c r="M1972" s="899"/>
      <c r="N1972" s="899"/>
      <c r="O1972" s="899"/>
      <c r="P1972" s="899"/>
      <c r="Q1972" s="573"/>
      <c r="R1972" s="573"/>
      <c r="S1972" s="573"/>
      <c r="T1972" s="573"/>
      <c r="U1972" s="573"/>
      <c r="V1972" s="573"/>
      <c r="W1972" s="573"/>
      <c r="X1972" s="573"/>
      <c r="Y1972" s="573"/>
      <c r="Z1972" s="573"/>
    </row>
    <row r="1973" spans="1:26" ht="18.75">
      <c r="A1973" s="677"/>
      <c r="B1973" s="677"/>
      <c r="C1973" s="677"/>
      <c r="D1973" s="896"/>
      <c r="E1973" s="677"/>
      <c r="F1973" s="677"/>
      <c r="G1973" s="677"/>
      <c r="H1973" s="897"/>
      <c r="I1973" s="898"/>
      <c r="J1973" s="898"/>
      <c r="K1973" s="899"/>
      <c r="L1973" s="899"/>
      <c r="M1973" s="899"/>
      <c r="N1973" s="899"/>
      <c r="O1973" s="899"/>
      <c r="P1973" s="899"/>
      <c r="Q1973" s="573"/>
      <c r="R1973" s="573"/>
      <c r="S1973" s="573"/>
      <c r="T1973" s="573"/>
      <c r="U1973" s="573"/>
      <c r="V1973" s="573"/>
      <c r="W1973" s="573"/>
      <c r="X1973" s="573"/>
      <c r="Y1973" s="573"/>
      <c r="Z1973" s="573"/>
    </row>
    <row r="1974" spans="1:26" ht="18.75">
      <c r="A1974" s="677"/>
      <c r="B1974" s="677"/>
      <c r="C1974" s="677"/>
      <c r="D1974" s="896"/>
      <c r="E1974" s="677"/>
      <c r="F1974" s="677"/>
      <c r="G1974" s="677"/>
      <c r="H1974" s="897"/>
      <c r="I1974" s="898"/>
      <c r="J1974" s="898"/>
      <c r="K1974" s="899"/>
      <c r="L1974" s="899"/>
      <c r="M1974" s="899"/>
      <c r="N1974" s="899"/>
      <c r="O1974" s="899"/>
      <c r="P1974" s="899"/>
      <c r="Q1974" s="573"/>
      <c r="R1974" s="573"/>
      <c r="S1974" s="573"/>
      <c r="T1974" s="573"/>
      <c r="U1974" s="573"/>
      <c r="V1974" s="573"/>
      <c r="W1974" s="573"/>
      <c r="X1974" s="573"/>
      <c r="Y1974" s="573"/>
      <c r="Z1974" s="573"/>
    </row>
    <row r="1975" spans="1:26" ht="18.75">
      <c r="A1975" s="677"/>
      <c r="B1975" s="677"/>
      <c r="C1975" s="677"/>
      <c r="D1975" s="896"/>
      <c r="E1975" s="677"/>
      <c r="F1975" s="677"/>
      <c r="G1975" s="677"/>
      <c r="H1975" s="897"/>
      <c r="I1975" s="898"/>
      <c r="J1975" s="898"/>
      <c r="K1975" s="899"/>
      <c r="L1975" s="899"/>
      <c r="M1975" s="899"/>
      <c r="N1975" s="899"/>
      <c r="O1975" s="899"/>
      <c r="P1975" s="899"/>
      <c r="Q1975" s="573"/>
      <c r="R1975" s="573"/>
      <c r="S1975" s="573"/>
      <c r="T1975" s="573"/>
      <c r="U1975" s="573"/>
      <c r="V1975" s="573"/>
      <c r="W1975" s="573"/>
      <c r="X1975" s="573"/>
      <c r="Y1975" s="573"/>
      <c r="Z1975" s="573"/>
    </row>
    <row r="1976" spans="1:26" ht="18.75">
      <c r="A1976" s="677"/>
      <c r="B1976" s="677"/>
      <c r="C1976" s="677"/>
      <c r="D1976" s="896"/>
      <c r="E1976" s="677"/>
      <c r="F1976" s="677"/>
      <c r="G1976" s="677"/>
      <c r="H1976" s="897"/>
      <c r="I1976" s="898"/>
      <c r="J1976" s="898"/>
      <c r="K1976" s="899"/>
      <c r="L1976" s="899"/>
      <c r="M1976" s="899"/>
      <c r="N1976" s="899"/>
      <c r="O1976" s="899"/>
      <c r="P1976" s="899"/>
      <c r="Q1976" s="573"/>
      <c r="R1976" s="573"/>
      <c r="S1976" s="573"/>
      <c r="T1976" s="573"/>
      <c r="U1976" s="573"/>
      <c r="V1976" s="573"/>
      <c r="W1976" s="573"/>
      <c r="X1976" s="573"/>
      <c r="Y1976" s="573"/>
      <c r="Z1976" s="573"/>
    </row>
    <row r="1977" spans="1:26" ht="18.75">
      <c r="A1977" s="677"/>
      <c r="B1977" s="677"/>
      <c r="C1977" s="677"/>
      <c r="D1977" s="896"/>
      <c r="E1977" s="677"/>
      <c r="F1977" s="677"/>
      <c r="G1977" s="677"/>
      <c r="H1977" s="897"/>
      <c r="I1977" s="898"/>
      <c r="J1977" s="898"/>
      <c r="K1977" s="899"/>
      <c r="L1977" s="899"/>
      <c r="M1977" s="899"/>
      <c r="N1977" s="899"/>
      <c r="O1977" s="899"/>
      <c r="P1977" s="899"/>
      <c r="Q1977" s="573"/>
      <c r="R1977" s="573"/>
      <c r="S1977" s="573"/>
      <c r="T1977" s="573"/>
      <c r="U1977" s="573"/>
      <c r="V1977" s="573"/>
      <c r="W1977" s="573"/>
      <c r="X1977" s="573"/>
      <c r="Y1977" s="573"/>
      <c r="Z1977" s="573"/>
    </row>
    <row r="1978" spans="1:26" ht="18.75">
      <c r="A1978" s="677"/>
      <c r="B1978" s="677"/>
      <c r="C1978" s="677"/>
      <c r="D1978" s="896"/>
      <c r="E1978" s="677"/>
      <c r="F1978" s="677"/>
      <c r="G1978" s="677"/>
      <c r="H1978" s="897"/>
      <c r="I1978" s="898"/>
      <c r="J1978" s="898"/>
      <c r="K1978" s="899"/>
      <c r="L1978" s="899"/>
      <c r="M1978" s="899"/>
      <c r="N1978" s="899"/>
      <c r="O1978" s="899"/>
      <c r="P1978" s="899"/>
      <c r="Q1978" s="573"/>
      <c r="R1978" s="573"/>
      <c r="S1978" s="573"/>
      <c r="T1978" s="573"/>
      <c r="U1978" s="573"/>
      <c r="V1978" s="573"/>
      <c r="W1978" s="573"/>
      <c r="X1978" s="573"/>
      <c r="Y1978" s="573"/>
      <c r="Z1978" s="573"/>
    </row>
    <row r="1979" spans="1:26" ht="18.75">
      <c r="A1979" s="677"/>
      <c r="B1979" s="677"/>
      <c r="C1979" s="677"/>
      <c r="D1979" s="896"/>
      <c r="E1979" s="677"/>
      <c r="F1979" s="677"/>
      <c r="G1979" s="677"/>
      <c r="H1979" s="897"/>
      <c r="I1979" s="898"/>
      <c r="J1979" s="898"/>
      <c r="K1979" s="899"/>
      <c r="L1979" s="899"/>
      <c r="M1979" s="899"/>
      <c r="N1979" s="899"/>
      <c r="O1979" s="899"/>
      <c r="P1979" s="899"/>
      <c r="Q1979" s="573"/>
      <c r="R1979" s="573"/>
      <c r="S1979" s="573"/>
      <c r="T1979" s="573"/>
      <c r="U1979" s="573"/>
      <c r="V1979" s="573"/>
      <c r="W1979" s="573"/>
      <c r="X1979" s="573"/>
      <c r="Y1979" s="573"/>
      <c r="Z1979" s="573"/>
    </row>
    <row r="1980" spans="1:26" ht="18.75">
      <c r="A1980" s="677"/>
      <c r="B1980" s="677"/>
      <c r="C1980" s="677"/>
      <c r="D1980" s="896"/>
      <c r="E1980" s="677"/>
      <c r="F1980" s="677"/>
      <c r="G1980" s="677"/>
      <c r="H1980" s="897"/>
      <c r="I1980" s="898"/>
      <c r="J1980" s="898"/>
      <c r="K1980" s="899"/>
      <c r="L1980" s="899"/>
      <c r="M1980" s="899"/>
      <c r="N1980" s="899"/>
      <c r="O1980" s="899"/>
      <c r="P1980" s="899"/>
      <c r="Q1980" s="573"/>
      <c r="R1980" s="573"/>
      <c r="S1980" s="573"/>
      <c r="T1980" s="573"/>
      <c r="U1980" s="573"/>
      <c r="V1980" s="573"/>
      <c r="W1980" s="573"/>
      <c r="X1980" s="573"/>
      <c r="Y1980" s="573"/>
      <c r="Z1980" s="573"/>
    </row>
    <row r="1981" spans="1:26" ht="18.75">
      <c r="A1981" s="677"/>
      <c r="B1981" s="677"/>
      <c r="C1981" s="677"/>
      <c r="D1981" s="896"/>
      <c r="E1981" s="677"/>
      <c r="F1981" s="677"/>
      <c r="G1981" s="677"/>
      <c r="H1981" s="897"/>
      <c r="I1981" s="898"/>
      <c r="J1981" s="898"/>
      <c r="K1981" s="899"/>
      <c r="L1981" s="899"/>
      <c r="M1981" s="899"/>
      <c r="N1981" s="899"/>
      <c r="O1981" s="899"/>
      <c r="P1981" s="899"/>
      <c r="Q1981" s="573"/>
      <c r="R1981" s="573"/>
      <c r="S1981" s="573"/>
      <c r="T1981" s="573"/>
      <c r="U1981" s="573"/>
      <c r="V1981" s="573"/>
      <c r="W1981" s="573"/>
      <c r="X1981" s="573"/>
      <c r="Y1981" s="573"/>
      <c r="Z1981" s="573"/>
    </row>
    <row r="1982" spans="1:26" ht="18.75">
      <c r="A1982" s="677"/>
      <c r="B1982" s="677"/>
      <c r="C1982" s="677"/>
      <c r="D1982" s="896"/>
      <c r="E1982" s="677"/>
      <c r="F1982" s="677"/>
      <c r="G1982" s="677"/>
      <c r="H1982" s="897"/>
      <c r="I1982" s="898"/>
      <c r="J1982" s="898"/>
      <c r="K1982" s="899"/>
      <c r="L1982" s="899"/>
      <c r="M1982" s="899"/>
      <c r="N1982" s="899"/>
      <c r="O1982" s="899"/>
      <c r="P1982" s="899"/>
      <c r="Q1982" s="573"/>
      <c r="R1982" s="573"/>
      <c r="S1982" s="573"/>
      <c r="T1982" s="573"/>
      <c r="U1982" s="573"/>
      <c r="V1982" s="573"/>
      <c r="W1982" s="573"/>
      <c r="X1982" s="573"/>
      <c r="Y1982" s="573"/>
      <c r="Z1982" s="573"/>
    </row>
    <row r="1983" spans="1:26" ht="18.75">
      <c r="A1983" s="677"/>
      <c r="B1983" s="677"/>
      <c r="C1983" s="677"/>
      <c r="D1983" s="896"/>
      <c r="E1983" s="677"/>
      <c r="F1983" s="677"/>
      <c r="G1983" s="677"/>
      <c r="H1983" s="897"/>
      <c r="I1983" s="898"/>
      <c r="J1983" s="898"/>
      <c r="K1983" s="899"/>
      <c r="L1983" s="899"/>
      <c r="M1983" s="899"/>
      <c r="N1983" s="899"/>
      <c r="O1983" s="899"/>
      <c r="P1983" s="899"/>
      <c r="Q1983" s="573"/>
      <c r="R1983" s="573"/>
      <c r="S1983" s="573"/>
      <c r="T1983" s="573"/>
      <c r="U1983" s="573"/>
      <c r="V1983" s="573"/>
      <c r="W1983" s="573"/>
      <c r="X1983" s="573"/>
      <c r="Y1983" s="573"/>
      <c r="Z1983" s="573"/>
    </row>
    <row r="1984" spans="1:26" ht="18.75">
      <c r="A1984" s="677"/>
      <c r="B1984" s="677"/>
      <c r="C1984" s="677"/>
      <c r="D1984" s="896"/>
      <c r="E1984" s="677"/>
      <c r="F1984" s="677"/>
      <c r="G1984" s="677"/>
      <c r="H1984" s="897"/>
      <c r="I1984" s="898"/>
      <c r="J1984" s="898"/>
      <c r="K1984" s="899"/>
      <c r="L1984" s="899"/>
      <c r="M1984" s="899"/>
      <c r="N1984" s="899"/>
      <c r="O1984" s="899"/>
      <c r="P1984" s="899"/>
      <c r="Q1984" s="573"/>
      <c r="R1984" s="573"/>
      <c r="S1984" s="573"/>
      <c r="T1984" s="573"/>
      <c r="U1984" s="573"/>
      <c r="V1984" s="573"/>
      <c r="W1984" s="573"/>
      <c r="X1984" s="573"/>
      <c r="Y1984" s="573"/>
      <c r="Z1984" s="573"/>
    </row>
    <row r="1985" spans="1:26" ht="18.75">
      <c r="A1985" s="677"/>
      <c r="B1985" s="677"/>
      <c r="C1985" s="677"/>
      <c r="D1985" s="896"/>
      <c r="E1985" s="677"/>
      <c r="F1985" s="677"/>
      <c r="G1985" s="677"/>
      <c r="H1985" s="897"/>
      <c r="I1985" s="898"/>
      <c r="J1985" s="898"/>
      <c r="K1985" s="899"/>
      <c r="L1985" s="899"/>
      <c r="M1985" s="899"/>
      <c r="N1985" s="899"/>
      <c r="O1985" s="899"/>
      <c r="P1985" s="899"/>
      <c r="Q1985" s="573"/>
      <c r="R1985" s="573"/>
      <c r="S1985" s="573"/>
      <c r="T1985" s="573"/>
      <c r="U1985" s="573"/>
      <c r="V1985" s="573"/>
      <c r="W1985" s="573"/>
      <c r="X1985" s="573"/>
      <c r="Y1985" s="573"/>
      <c r="Z1985" s="573"/>
    </row>
    <row r="1986" spans="1:26" ht="18.75">
      <c r="A1986" s="677"/>
      <c r="B1986" s="677"/>
      <c r="C1986" s="677"/>
      <c r="D1986" s="896"/>
      <c r="E1986" s="677"/>
      <c r="F1986" s="677"/>
      <c r="G1986" s="677"/>
      <c r="H1986" s="897"/>
      <c r="I1986" s="898"/>
      <c r="J1986" s="898"/>
      <c r="K1986" s="899"/>
      <c r="L1986" s="899"/>
      <c r="M1986" s="899"/>
      <c r="N1986" s="899"/>
      <c r="O1986" s="899"/>
      <c r="P1986" s="899"/>
      <c r="Q1986" s="573"/>
      <c r="R1986" s="573"/>
      <c r="S1986" s="573"/>
      <c r="T1986" s="573"/>
      <c r="U1986" s="573"/>
      <c r="V1986" s="573"/>
      <c r="W1986" s="573"/>
      <c r="X1986" s="573"/>
      <c r="Y1986" s="573"/>
      <c r="Z1986" s="573"/>
    </row>
    <row r="1987" spans="1:26" ht="18.75">
      <c r="A1987" s="677"/>
      <c r="B1987" s="677"/>
      <c r="C1987" s="677"/>
      <c r="D1987" s="896"/>
      <c r="E1987" s="677"/>
      <c r="F1987" s="677"/>
      <c r="G1987" s="677"/>
      <c r="H1987" s="897"/>
      <c r="I1987" s="898"/>
      <c r="J1987" s="898"/>
      <c r="K1987" s="899"/>
      <c r="L1987" s="899"/>
      <c r="M1987" s="899"/>
      <c r="N1987" s="899"/>
      <c r="O1987" s="899"/>
      <c r="P1987" s="899"/>
      <c r="Q1987" s="573"/>
      <c r="R1987" s="573"/>
      <c r="S1987" s="573"/>
      <c r="T1987" s="573"/>
      <c r="U1987" s="573"/>
      <c r="V1987" s="573"/>
      <c r="W1987" s="573"/>
      <c r="X1987" s="573"/>
      <c r="Y1987" s="573"/>
      <c r="Z1987" s="573"/>
    </row>
    <row r="1988" spans="1:26" ht="18.75">
      <c r="A1988" s="677"/>
      <c r="B1988" s="677"/>
      <c r="C1988" s="677"/>
      <c r="D1988" s="896"/>
      <c r="E1988" s="677"/>
      <c r="F1988" s="677"/>
      <c r="G1988" s="677"/>
      <c r="H1988" s="897"/>
      <c r="I1988" s="898"/>
      <c r="J1988" s="898"/>
      <c r="K1988" s="899"/>
      <c r="L1988" s="899"/>
      <c r="M1988" s="899"/>
      <c r="N1988" s="899"/>
      <c r="O1988" s="899"/>
      <c r="P1988" s="899"/>
      <c r="Q1988" s="573"/>
      <c r="R1988" s="573"/>
      <c r="S1988" s="573"/>
      <c r="T1988" s="573"/>
      <c r="U1988" s="573"/>
      <c r="V1988" s="573"/>
      <c r="W1988" s="573"/>
      <c r="X1988" s="573"/>
      <c r="Y1988" s="573"/>
      <c r="Z1988" s="573"/>
    </row>
    <row r="1989" spans="1:26" ht="18.75">
      <c r="A1989" s="677"/>
      <c r="B1989" s="677"/>
      <c r="C1989" s="677"/>
      <c r="D1989" s="896"/>
      <c r="E1989" s="677"/>
      <c r="F1989" s="677"/>
      <c r="G1989" s="677"/>
      <c r="H1989" s="897"/>
      <c r="I1989" s="898"/>
      <c r="J1989" s="898"/>
      <c r="K1989" s="899"/>
      <c r="L1989" s="899"/>
      <c r="M1989" s="899"/>
      <c r="N1989" s="899"/>
      <c r="O1989" s="899"/>
      <c r="P1989" s="899"/>
      <c r="Q1989" s="573"/>
      <c r="R1989" s="573"/>
      <c r="S1989" s="573"/>
      <c r="T1989" s="573"/>
      <c r="U1989" s="573"/>
      <c r="V1989" s="573"/>
      <c r="W1989" s="573"/>
      <c r="X1989" s="573"/>
      <c r="Y1989" s="573"/>
      <c r="Z1989" s="573"/>
    </row>
    <row r="1990" spans="1:26" ht="18.75">
      <c r="A1990" s="677"/>
      <c r="B1990" s="677"/>
      <c r="C1990" s="677"/>
      <c r="D1990" s="896"/>
      <c r="E1990" s="677"/>
      <c r="F1990" s="677"/>
      <c r="G1990" s="677"/>
      <c r="H1990" s="897"/>
      <c r="I1990" s="898"/>
      <c r="J1990" s="898"/>
      <c r="K1990" s="899"/>
      <c r="L1990" s="899"/>
      <c r="M1990" s="899"/>
      <c r="N1990" s="899"/>
      <c r="O1990" s="899"/>
      <c r="P1990" s="899"/>
      <c r="Q1990" s="573"/>
      <c r="R1990" s="573"/>
      <c r="S1990" s="573"/>
      <c r="T1990" s="573"/>
      <c r="U1990" s="573"/>
      <c r="V1990" s="573"/>
      <c r="W1990" s="573"/>
      <c r="X1990" s="573"/>
      <c r="Y1990" s="573"/>
      <c r="Z1990" s="573"/>
    </row>
    <row r="1991" spans="1:26" ht="18.75">
      <c r="A1991" s="677"/>
      <c r="B1991" s="677"/>
      <c r="C1991" s="677"/>
      <c r="D1991" s="896"/>
      <c r="E1991" s="677"/>
      <c r="F1991" s="677"/>
      <c r="G1991" s="677"/>
      <c r="H1991" s="897"/>
      <c r="I1991" s="898"/>
      <c r="J1991" s="898"/>
      <c r="K1991" s="899"/>
      <c r="L1991" s="899"/>
      <c r="M1991" s="899"/>
      <c r="N1991" s="899"/>
      <c r="O1991" s="899"/>
      <c r="P1991" s="899"/>
      <c r="Q1991" s="573"/>
      <c r="R1991" s="573"/>
      <c r="S1991" s="573"/>
      <c r="T1991" s="573"/>
      <c r="U1991" s="573"/>
      <c r="V1991" s="573"/>
      <c r="W1991" s="573"/>
      <c r="X1991" s="573"/>
      <c r="Y1991" s="573"/>
      <c r="Z1991" s="573"/>
    </row>
    <row r="1992" spans="1:26" ht="18.75">
      <c r="A1992" s="677"/>
      <c r="B1992" s="677"/>
      <c r="C1992" s="677"/>
      <c r="D1992" s="896"/>
      <c r="E1992" s="677"/>
      <c r="F1992" s="677"/>
      <c r="G1992" s="677"/>
      <c r="H1992" s="897"/>
      <c r="I1992" s="898"/>
      <c r="J1992" s="898"/>
      <c r="K1992" s="899"/>
      <c r="L1992" s="899"/>
      <c r="M1992" s="899"/>
      <c r="N1992" s="899"/>
      <c r="O1992" s="899"/>
      <c r="P1992" s="899"/>
      <c r="Q1992" s="573"/>
      <c r="R1992" s="573"/>
      <c r="S1992" s="573"/>
      <c r="T1992" s="573"/>
      <c r="U1992" s="573"/>
      <c r="V1992" s="573"/>
      <c r="W1992" s="573"/>
      <c r="X1992" s="573"/>
      <c r="Y1992" s="573"/>
      <c r="Z1992" s="573"/>
    </row>
    <row r="1993" spans="1:26" ht="18.75">
      <c r="A1993" s="677"/>
      <c r="B1993" s="677"/>
      <c r="C1993" s="677"/>
      <c r="D1993" s="896"/>
      <c r="E1993" s="677"/>
      <c r="F1993" s="677"/>
      <c r="G1993" s="677"/>
      <c r="H1993" s="897"/>
      <c r="I1993" s="898"/>
      <c r="J1993" s="898"/>
      <c r="K1993" s="899"/>
      <c r="L1993" s="899"/>
      <c r="M1993" s="899"/>
      <c r="N1993" s="899"/>
      <c r="O1993" s="899"/>
      <c r="P1993" s="899"/>
      <c r="Q1993" s="573"/>
      <c r="R1993" s="573"/>
      <c r="S1993" s="573"/>
      <c r="T1993" s="573"/>
      <c r="U1993" s="573"/>
      <c r="V1993" s="573"/>
      <c r="W1993" s="573"/>
      <c r="X1993" s="573"/>
      <c r="Y1993" s="573"/>
      <c r="Z1993" s="573"/>
    </row>
    <row r="1994" spans="1:26" ht="18.75">
      <c r="A1994" s="677"/>
      <c r="B1994" s="677"/>
      <c r="C1994" s="677"/>
      <c r="D1994" s="896"/>
      <c r="E1994" s="677"/>
      <c r="F1994" s="677"/>
      <c r="G1994" s="677"/>
      <c r="H1994" s="897"/>
      <c r="I1994" s="898"/>
      <c r="J1994" s="898"/>
      <c r="K1994" s="899"/>
      <c r="L1994" s="899"/>
      <c r="M1994" s="899"/>
      <c r="N1994" s="899"/>
      <c r="O1994" s="899"/>
      <c r="P1994" s="899"/>
      <c r="Q1994" s="573"/>
      <c r="R1994" s="573"/>
      <c r="S1994" s="573"/>
      <c r="T1994" s="573"/>
      <c r="U1994" s="573"/>
      <c r="V1994" s="573"/>
      <c r="W1994" s="573"/>
      <c r="X1994" s="573"/>
      <c r="Y1994" s="573"/>
      <c r="Z1994" s="573"/>
    </row>
    <row r="1995" spans="1:26" ht="18.75">
      <c r="A1995" s="677"/>
      <c r="B1995" s="677"/>
      <c r="C1995" s="677"/>
      <c r="D1995" s="896"/>
      <c r="E1995" s="677"/>
      <c r="F1995" s="677"/>
      <c r="G1995" s="677"/>
      <c r="H1995" s="897"/>
      <c r="I1995" s="898"/>
      <c r="J1995" s="898"/>
      <c r="K1995" s="899"/>
      <c r="L1995" s="899"/>
      <c r="M1995" s="899"/>
      <c r="N1995" s="899"/>
      <c r="O1995" s="899"/>
      <c r="P1995" s="899"/>
      <c r="Q1995" s="573"/>
      <c r="R1995" s="573"/>
      <c r="S1995" s="573"/>
      <c r="T1995" s="573"/>
      <c r="U1995" s="573"/>
      <c r="V1995" s="573"/>
      <c r="W1995" s="573"/>
      <c r="X1995" s="573"/>
      <c r="Y1995" s="573"/>
      <c r="Z1995" s="573"/>
    </row>
    <row r="1996" spans="1:26" ht="18.75">
      <c r="A1996" s="677"/>
      <c r="B1996" s="677"/>
      <c r="C1996" s="677"/>
      <c r="D1996" s="896"/>
      <c r="E1996" s="677"/>
      <c r="F1996" s="677"/>
      <c r="G1996" s="677"/>
      <c r="H1996" s="897"/>
      <c r="I1996" s="898"/>
      <c r="J1996" s="898"/>
      <c r="K1996" s="899"/>
      <c r="L1996" s="899"/>
      <c r="M1996" s="899"/>
      <c r="N1996" s="899"/>
      <c r="O1996" s="899"/>
      <c r="P1996" s="899"/>
      <c r="Q1996" s="573"/>
      <c r="R1996" s="573"/>
      <c r="S1996" s="573"/>
      <c r="T1996" s="573"/>
      <c r="U1996" s="573"/>
      <c r="V1996" s="573"/>
      <c r="W1996" s="573"/>
      <c r="X1996" s="573"/>
      <c r="Y1996" s="573"/>
      <c r="Z1996" s="573"/>
    </row>
    <row r="1997" spans="1:26" ht="18.75">
      <c r="A1997" s="677"/>
      <c r="B1997" s="677"/>
      <c r="C1997" s="677"/>
      <c r="D1997" s="896"/>
      <c r="E1997" s="677"/>
      <c r="F1997" s="677"/>
      <c r="G1997" s="677"/>
      <c r="H1997" s="897"/>
      <c r="I1997" s="898"/>
      <c r="J1997" s="898"/>
      <c r="K1997" s="899"/>
      <c r="L1997" s="899"/>
      <c r="M1997" s="899"/>
      <c r="N1997" s="899"/>
      <c r="O1997" s="899"/>
      <c r="P1997" s="899"/>
      <c r="Q1997" s="573"/>
      <c r="R1997" s="573"/>
      <c r="S1997" s="573"/>
      <c r="T1997" s="573"/>
      <c r="U1997" s="573"/>
      <c r="V1997" s="573"/>
      <c r="W1997" s="573"/>
      <c r="X1997" s="573"/>
      <c r="Y1997" s="573"/>
      <c r="Z1997" s="573"/>
    </row>
    <row r="1998" spans="1:26" ht="18.75">
      <c r="A1998" s="677"/>
      <c r="B1998" s="677"/>
      <c r="C1998" s="677"/>
      <c r="D1998" s="896"/>
      <c r="E1998" s="677"/>
      <c r="F1998" s="677"/>
      <c r="G1998" s="677"/>
      <c r="H1998" s="897"/>
      <c r="I1998" s="898"/>
      <c r="J1998" s="898"/>
      <c r="K1998" s="899"/>
      <c r="L1998" s="899"/>
      <c r="M1998" s="899"/>
      <c r="N1998" s="899"/>
      <c r="O1998" s="899"/>
      <c r="P1998" s="899"/>
      <c r="Q1998" s="573"/>
      <c r="R1998" s="573"/>
      <c r="S1998" s="573"/>
      <c r="T1998" s="573"/>
      <c r="U1998" s="573"/>
      <c r="V1998" s="573"/>
      <c r="W1998" s="573"/>
      <c r="X1998" s="573"/>
      <c r="Y1998" s="573"/>
      <c r="Z1998" s="573"/>
    </row>
    <row r="1999" spans="1:26" ht="18.75">
      <c r="A1999" s="677"/>
      <c r="B1999" s="677"/>
      <c r="C1999" s="677"/>
      <c r="D1999" s="896"/>
      <c r="E1999" s="677"/>
      <c r="F1999" s="677"/>
      <c r="G1999" s="677"/>
      <c r="H1999" s="897"/>
      <c r="I1999" s="898"/>
      <c r="J1999" s="898"/>
      <c r="K1999" s="899"/>
      <c r="L1999" s="899"/>
      <c r="M1999" s="899"/>
      <c r="N1999" s="899"/>
      <c r="O1999" s="899"/>
      <c r="P1999" s="899"/>
      <c r="Q1999" s="573"/>
      <c r="R1999" s="573"/>
      <c r="S1999" s="573"/>
      <c r="T1999" s="573"/>
      <c r="U1999" s="573"/>
      <c r="V1999" s="573"/>
      <c r="W1999" s="573"/>
      <c r="X1999" s="573"/>
      <c r="Y1999" s="573"/>
      <c r="Z1999" s="573"/>
    </row>
    <row r="2000" spans="1:26" ht="18.75">
      <c r="A2000" s="677"/>
      <c r="B2000" s="677"/>
      <c r="C2000" s="677"/>
      <c r="D2000" s="896"/>
      <c r="E2000" s="677"/>
      <c r="F2000" s="677"/>
      <c r="G2000" s="677"/>
      <c r="H2000" s="897"/>
      <c r="I2000" s="898"/>
      <c r="J2000" s="898"/>
      <c r="K2000" s="899"/>
      <c r="L2000" s="899"/>
      <c r="M2000" s="899"/>
      <c r="N2000" s="899"/>
      <c r="O2000" s="899"/>
      <c r="P2000" s="899"/>
      <c r="Q2000" s="573"/>
      <c r="R2000" s="573"/>
      <c r="S2000" s="573"/>
      <c r="T2000" s="573"/>
      <c r="U2000" s="573"/>
      <c r="V2000" s="573"/>
      <c r="W2000" s="573"/>
      <c r="X2000" s="573"/>
      <c r="Y2000" s="573"/>
      <c r="Z2000" s="573"/>
    </row>
    <row r="2001" spans="1:26" ht="18.75">
      <c r="A2001" s="677"/>
      <c r="B2001" s="677"/>
      <c r="C2001" s="677"/>
      <c r="D2001" s="896"/>
      <c r="E2001" s="677"/>
      <c r="F2001" s="677"/>
      <c r="G2001" s="677"/>
      <c r="H2001" s="897"/>
      <c r="I2001" s="898"/>
      <c r="J2001" s="898"/>
      <c r="K2001" s="899"/>
      <c r="L2001" s="899"/>
      <c r="M2001" s="899"/>
      <c r="N2001" s="899"/>
      <c r="O2001" s="899"/>
      <c r="P2001" s="899"/>
      <c r="Q2001" s="573"/>
      <c r="R2001" s="573"/>
      <c r="S2001" s="573"/>
      <c r="T2001" s="573"/>
      <c r="U2001" s="573"/>
      <c r="V2001" s="573"/>
      <c r="W2001" s="573"/>
      <c r="X2001" s="573"/>
      <c r="Y2001" s="573"/>
      <c r="Z2001" s="573"/>
    </row>
    <row r="2002" spans="1:26" ht="18.75">
      <c r="A2002" s="677"/>
      <c r="B2002" s="677"/>
      <c r="C2002" s="677"/>
      <c r="D2002" s="896"/>
      <c r="E2002" s="677"/>
      <c r="F2002" s="677"/>
      <c r="G2002" s="677"/>
      <c r="H2002" s="897"/>
      <c r="I2002" s="898"/>
      <c r="J2002" s="898"/>
      <c r="K2002" s="899"/>
      <c r="L2002" s="899"/>
      <c r="M2002" s="899"/>
      <c r="N2002" s="899"/>
      <c r="O2002" s="899"/>
      <c r="P2002" s="899"/>
      <c r="Q2002" s="573"/>
      <c r="R2002" s="573"/>
      <c r="S2002" s="573"/>
      <c r="T2002" s="573"/>
      <c r="U2002" s="573"/>
      <c r="V2002" s="573"/>
      <c r="W2002" s="573"/>
      <c r="X2002" s="573"/>
      <c r="Y2002" s="573"/>
      <c r="Z2002" s="573"/>
    </row>
    <row r="2003" spans="1:26" ht="18.75">
      <c r="A2003" s="677"/>
      <c r="B2003" s="677"/>
      <c r="C2003" s="677"/>
      <c r="D2003" s="896"/>
      <c r="E2003" s="677"/>
      <c r="F2003" s="677"/>
      <c r="G2003" s="677"/>
      <c r="H2003" s="897"/>
      <c r="I2003" s="898"/>
      <c r="J2003" s="898"/>
      <c r="K2003" s="899"/>
      <c r="L2003" s="899"/>
      <c r="M2003" s="899"/>
      <c r="N2003" s="899"/>
      <c r="O2003" s="899"/>
      <c r="P2003" s="899"/>
      <c r="Q2003" s="573"/>
      <c r="R2003" s="573"/>
      <c r="S2003" s="573"/>
      <c r="T2003" s="573"/>
      <c r="U2003" s="573"/>
      <c r="V2003" s="573"/>
      <c r="W2003" s="573"/>
      <c r="X2003" s="573"/>
      <c r="Y2003" s="573"/>
      <c r="Z2003" s="573"/>
    </row>
    <row r="2004" spans="1:26" ht="18.75">
      <c r="A2004" s="677"/>
      <c r="B2004" s="677"/>
      <c r="C2004" s="677"/>
      <c r="D2004" s="896"/>
      <c r="E2004" s="677"/>
      <c r="F2004" s="677"/>
      <c r="G2004" s="677"/>
      <c r="H2004" s="897"/>
      <c r="I2004" s="898"/>
      <c r="J2004" s="898"/>
      <c r="K2004" s="899"/>
      <c r="L2004" s="899"/>
      <c r="M2004" s="899"/>
      <c r="N2004" s="899"/>
      <c r="O2004" s="899"/>
      <c r="P2004" s="899"/>
      <c r="Q2004" s="573"/>
      <c r="R2004" s="573"/>
      <c r="S2004" s="573"/>
      <c r="T2004" s="573"/>
      <c r="U2004" s="573"/>
      <c r="V2004" s="573"/>
      <c r="W2004" s="573"/>
      <c r="X2004" s="573"/>
      <c r="Y2004" s="573"/>
      <c r="Z2004" s="573"/>
    </row>
    <row r="2005" spans="1:26" ht="18.75">
      <c r="A2005" s="677"/>
      <c r="B2005" s="677"/>
      <c r="C2005" s="677"/>
      <c r="D2005" s="896"/>
      <c r="E2005" s="677"/>
      <c r="F2005" s="677"/>
      <c r="G2005" s="677"/>
      <c r="H2005" s="897"/>
      <c r="I2005" s="898"/>
      <c r="J2005" s="898"/>
      <c r="K2005" s="899"/>
      <c r="L2005" s="899"/>
      <c r="M2005" s="899"/>
      <c r="N2005" s="899"/>
      <c r="O2005" s="899"/>
      <c r="P2005" s="899"/>
      <c r="Q2005" s="573"/>
      <c r="R2005" s="573"/>
      <c r="S2005" s="573"/>
      <c r="T2005" s="573"/>
      <c r="U2005" s="573"/>
      <c r="V2005" s="573"/>
      <c r="W2005" s="573"/>
      <c r="X2005" s="573"/>
      <c r="Y2005" s="573"/>
      <c r="Z2005" s="573"/>
    </row>
    <row r="2006" spans="1:26" ht="18.75">
      <c r="A2006" s="677"/>
      <c r="B2006" s="677"/>
      <c r="C2006" s="677"/>
      <c r="D2006" s="896"/>
      <c r="E2006" s="677"/>
      <c r="F2006" s="677"/>
      <c r="G2006" s="677"/>
      <c r="H2006" s="897"/>
      <c r="I2006" s="898"/>
      <c r="J2006" s="898"/>
      <c r="K2006" s="899"/>
      <c r="L2006" s="899"/>
      <c r="M2006" s="899"/>
      <c r="N2006" s="899"/>
      <c r="O2006" s="899"/>
      <c r="P2006" s="899"/>
      <c r="Q2006" s="573"/>
      <c r="R2006" s="573"/>
      <c r="S2006" s="573"/>
      <c r="T2006" s="573"/>
      <c r="U2006" s="573"/>
      <c r="V2006" s="573"/>
      <c r="W2006" s="573"/>
      <c r="X2006" s="573"/>
      <c r="Y2006" s="573"/>
      <c r="Z2006" s="573"/>
    </row>
    <row r="2007" spans="1:26" ht="18.75">
      <c r="A2007" s="677"/>
      <c r="B2007" s="677"/>
      <c r="C2007" s="677"/>
      <c r="D2007" s="896"/>
      <c r="E2007" s="677"/>
      <c r="F2007" s="677"/>
      <c r="G2007" s="677"/>
      <c r="H2007" s="897"/>
      <c r="I2007" s="898"/>
      <c r="J2007" s="898"/>
      <c r="K2007" s="899"/>
      <c r="L2007" s="899"/>
      <c r="M2007" s="899"/>
      <c r="N2007" s="899"/>
      <c r="O2007" s="899"/>
      <c r="P2007" s="899"/>
      <c r="Q2007" s="573"/>
      <c r="R2007" s="573"/>
      <c r="S2007" s="573"/>
      <c r="T2007" s="573"/>
      <c r="U2007" s="573"/>
      <c r="V2007" s="573"/>
      <c r="W2007" s="573"/>
      <c r="X2007" s="573"/>
      <c r="Y2007" s="573"/>
      <c r="Z2007" s="573"/>
    </row>
    <row r="2008" spans="1:26" ht="18.75">
      <c r="A2008" s="677"/>
      <c r="B2008" s="677"/>
      <c r="C2008" s="677"/>
      <c r="D2008" s="896"/>
      <c r="E2008" s="677"/>
      <c r="F2008" s="677"/>
      <c r="G2008" s="677"/>
      <c r="H2008" s="897"/>
      <c r="I2008" s="898"/>
      <c r="J2008" s="898"/>
      <c r="K2008" s="899"/>
      <c r="L2008" s="899"/>
      <c r="M2008" s="899"/>
      <c r="N2008" s="899"/>
      <c r="O2008" s="899"/>
      <c r="P2008" s="899"/>
      <c r="Q2008" s="573"/>
      <c r="R2008" s="573"/>
      <c r="S2008" s="573"/>
      <c r="T2008" s="573"/>
      <c r="U2008" s="573"/>
      <c r="V2008" s="573"/>
      <c r="W2008" s="573"/>
      <c r="X2008" s="573"/>
      <c r="Y2008" s="573"/>
      <c r="Z2008" s="573"/>
    </row>
    <row r="2009" spans="1:26" ht="18.75">
      <c r="A2009" s="677"/>
      <c r="B2009" s="677"/>
      <c r="C2009" s="677"/>
      <c r="D2009" s="896"/>
      <c r="E2009" s="677"/>
      <c r="F2009" s="677"/>
      <c r="G2009" s="677"/>
      <c r="H2009" s="897"/>
      <c r="I2009" s="898"/>
      <c r="J2009" s="898"/>
      <c r="K2009" s="899"/>
      <c r="L2009" s="899"/>
      <c r="M2009" s="899"/>
      <c r="N2009" s="899"/>
      <c r="O2009" s="899"/>
      <c r="P2009" s="899"/>
      <c r="Q2009" s="573"/>
      <c r="R2009" s="573"/>
      <c r="S2009" s="573"/>
      <c r="T2009" s="573"/>
      <c r="U2009" s="573"/>
      <c r="V2009" s="573"/>
      <c r="W2009" s="573"/>
      <c r="X2009" s="573"/>
      <c r="Y2009" s="573"/>
      <c r="Z2009" s="573"/>
    </row>
    <row r="2010" spans="1:26" ht="18.75">
      <c r="A2010" s="677"/>
      <c r="B2010" s="677"/>
      <c r="C2010" s="677"/>
      <c r="D2010" s="896"/>
      <c r="E2010" s="677"/>
      <c r="F2010" s="677"/>
      <c r="G2010" s="677"/>
      <c r="H2010" s="897"/>
      <c r="I2010" s="898"/>
      <c r="J2010" s="898"/>
      <c r="K2010" s="899"/>
      <c r="L2010" s="899"/>
      <c r="M2010" s="899"/>
      <c r="N2010" s="899"/>
      <c r="O2010" s="899"/>
      <c r="P2010" s="899"/>
      <c r="Q2010" s="573"/>
      <c r="R2010" s="573"/>
      <c r="S2010" s="573"/>
      <c r="T2010" s="573"/>
      <c r="U2010" s="573"/>
      <c r="V2010" s="573"/>
      <c r="W2010" s="573"/>
      <c r="X2010" s="573"/>
      <c r="Y2010" s="573"/>
      <c r="Z2010" s="573"/>
    </row>
    <row r="2011" spans="1:26" ht="18.75">
      <c r="A2011" s="677"/>
      <c r="B2011" s="677"/>
      <c r="C2011" s="677"/>
      <c r="D2011" s="896"/>
      <c r="E2011" s="677"/>
      <c r="F2011" s="677"/>
      <c r="G2011" s="677"/>
      <c r="H2011" s="897"/>
      <c r="I2011" s="898"/>
      <c r="J2011" s="898"/>
      <c r="K2011" s="899"/>
      <c r="L2011" s="899"/>
      <c r="M2011" s="899"/>
      <c r="N2011" s="899"/>
      <c r="O2011" s="899"/>
      <c r="P2011" s="899"/>
      <c r="Q2011" s="573"/>
      <c r="R2011" s="573"/>
      <c r="S2011" s="573"/>
      <c r="T2011" s="573"/>
      <c r="U2011" s="573"/>
      <c r="V2011" s="573"/>
      <c r="W2011" s="573"/>
      <c r="X2011" s="573"/>
      <c r="Y2011" s="573"/>
      <c r="Z2011" s="573"/>
    </row>
    <row r="2012" spans="1:26" ht="18.75">
      <c r="A2012" s="677"/>
      <c r="B2012" s="677"/>
      <c r="C2012" s="677"/>
      <c r="D2012" s="896"/>
      <c r="E2012" s="677"/>
      <c r="F2012" s="677"/>
      <c r="G2012" s="677"/>
      <c r="H2012" s="897"/>
      <c r="I2012" s="898"/>
      <c r="J2012" s="898"/>
      <c r="K2012" s="899"/>
      <c r="L2012" s="899"/>
      <c r="M2012" s="899"/>
      <c r="N2012" s="899"/>
      <c r="O2012" s="899"/>
      <c r="P2012" s="899"/>
      <c r="Q2012" s="573"/>
      <c r="R2012" s="573"/>
      <c r="S2012" s="573"/>
      <c r="T2012" s="573"/>
      <c r="U2012" s="573"/>
      <c r="V2012" s="573"/>
      <c r="W2012" s="573"/>
      <c r="X2012" s="573"/>
      <c r="Y2012" s="573"/>
      <c r="Z2012" s="573"/>
    </row>
    <row r="2013" spans="1:26" ht="18.75">
      <c r="A2013" s="677"/>
      <c r="B2013" s="677"/>
      <c r="C2013" s="677"/>
      <c r="D2013" s="896"/>
      <c r="E2013" s="677"/>
      <c r="F2013" s="677"/>
      <c r="G2013" s="677"/>
      <c r="H2013" s="897"/>
      <c r="I2013" s="898"/>
      <c r="J2013" s="898"/>
      <c r="K2013" s="899"/>
      <c r="L2013" s="899"/>
      <c r="M2013" s="899"/>
      <c r="N2013" s="899"/>
      <c r="O2013" s="899"/>
      <c r="P2013" s="899"/>
      <c r="Q2013" s="573"/>
      <c r="R2013" s="573"/>
      <c r="S2013" s="573"/>
      <c r="T2013" s="573"/>
      <c r="U2013" s="573"/>
      <c r="V2013" s="573"/>
      <c r="W2013" s="573"/>
      <c r="X2013" s="573"/>
      <c r="Y2013" s="573"/>
      <c r="Z2013" s="573"/>
    </row>
    <row r="2014" spans="1:26" ht="18.75">
      <c r="A2014" s="677"/>
      <c r="B2014" s="677"/>
      <c r="C2014" s="677"/>
      <c r="D2014" s="896"/>
      <c r="E2014" s="677"/>
      <c r="F2014" s="677"/>
      <c r="G2014" s="677"/>
      <c r="H2014" s="897"/>
      <c r="I2014" s="898"/>
      <c r="J2014" s="898"/>
      <c r="K2014" s="899"/>
      <c r="L2014" s="899"/>
      <c r="M2014" s="899"/>
      <c r="N2014" s="899"/>
      <c r="O2014" s="899"/>
      <c r="P2014" s="899"/>
      <c r="Q2014" s="573"/>
      <c r="R2014" s="573"/>
      <c r="S2014" s="573"/>
      <c r="T2014" s="573"/>
      <c r="U2014" s="573"/>
      <c r="V2014" s="573"/>
      <c r="W2014" s="573"/>
      <c r="X2014" s="573"/>
      <c r="Y2014" s="573"/>
      <c r="Z2014" s="573"/>
    </row>
    <row r="2015" spans="1:26" ht="18.75">
      <c r="A2015" s="677"/>
      <c r="B2015" s="677"/>
      <c r="C2015" s="677"/>
      <c r="D2015" s="896"/>
      <c r="E2015" s="677"/>
      <c r="F2015" s="677"/>
      <c r="G2015" s="677"/>
      <c r="H2015" s="897"/>
      <c r="I2015" s="898"/>
      <c r="J2015" s="898"/>
      <c r="K2015" s="899"/>
      <c r="L2015" s="899"/>
      <c r="M2015" s="899"/>
      <c r="N2015" s="899"/>
      <c r="O2015" s="899"/>
      <c r="P2015" s="899"/>
      <c r="Q2015" s="573"/>
      <c r="R2015" s="573"/>
      <c r="S2015" s="573"/>
      <c r="T2015" s="573"/>
      <c r="U2015" s="573"/>
      <c r="V2015" s="573"/>
      <c r="W2015" s="573"/>
      <c r="X2015" s="573"/>
      <c r="Y2015" s="573"/>
      <c r="Z2015" s="573"/>
    </row>
    <row r="2016" spans="1:26" ht="18.75">
      <c r="A2016" s="677"/>
      <c r="B2016" s="677"/>
      <c r="C2016" s="677"/>
      <c r="D2016" s="896"/>
      <c r="E2016" s="677"/>
      <c r="F2016" s="677"/>
      <c r="G2016" s="677"/>
      <c r="H2016" s="897"/>
      <c r="I2016" s="898"/>
      <c r="J2016" s="898"/>
      <c r="K2016" s="899"/>
      <c r="L2016" s="899"/>
      <c r="M2016" s="899"/>
      <c r="N2016" s="899"/>
      <c r="O2016" s="899"/>
      <c r="P2016" s="899"/>
      <c r="Q2016" s="573"/>
      <c r="R2016" s="573"/>
      <c r="S2016" s="573"/>
      <c r="T2016" s="573"/>
      <c r="U2016" s="573"/>
      <c r="V2016" s="573"/>
      <c r="W2016" s="573"/>
      <c r="X2016" s="573"/>
      <c r="Y2016" s="573"/>
      <c r="Z2016" s="573"/>
    </row>
    <row r="2017" spans="1:26" ht="18.75">
      <c r="A2017" s="677"/>
      <c r="B2017" s="677"/>
      <c r="C2017" s="677"/>
      <c r="D2017" s="896"/>
      <c r="E2017" s="677"/>
      <c r="F2017" s="677"/>
      <c r="G2017" s="677"/>
      <c r="H2017" s="897"/>
      <c r="I2017" s="898"/>
      <c r="J2017" s="898"/>
      <c r="K2017" s="899"/>
      <c r="L2017" s="899"/>
      <c r="M2017" s="899"/>
      <c r="N2017" s="899"/>
      <c r="O2017" s="899"/>
      <c r="P2017" s="899"/>
      <c r="Q2017" s="573"/>
      <c r="R2017" s="573"/>
      <c r="S2017" s="573"/>
      <c r="T2017" s="573"/>
      <c r="U2017" s="573"/>
      <c r="V2017" s="573"/>
      <c r="W2017" s="573"/>
      <c r="X2017" s="573"/>
      <c r="Y2017" s="573"/>
      <c r="Z2017" s="573"/>
    </row>
    <row r="2018" spans="1:26" ht="18.75">
      <c r="A2018" s="677"/>
      <c r="B2018" s="677"/>
      <c r="C2018" s="677"/>
      <c r="D2018" s="896"/>
      <c r="E2018" s="677"/>
      <c r="F2018" s="677"/>
      <c r="G2018" s="677"/>
      <c r="H2018" s="897"/>
      <c r="I2018" s="898"/>
      <c r="J2018" s="898"/>
      <c r="K2018" s="899"/>
      <c r="L2018" s="899"/>
      <c r="M2018" s="899"/>
      <c r="N2018" s="899"/>
      <c r="O2018" s="899"/>
      <c r="P2018" s="899"/>
      <c r="Q2018" s="573"/>
      <c r="R2018" s="573"/>
      <c r="S2018" s="573"/>
      <c r="T2018" s="573"/>
      <c r="U2018" s="573"/>
      <c r="V2018" s="573"/>
      <c r="W2018" s="573"/>
      <c r="X2018" s="573"/>
      <c r="Y2018" s="573"/>
      <c r="Z2018" s="573"/>
    </row>
    <row r="2019" spans="1:26" ht="18.75">
      <c r="A2019" s="677"/>
      <c r="B2019" s="677"/>
      <c r="C2019" s="677"/>
      <c r="D2019" s="896"/>
      <c r="E2019" s="677"/>
      <c r="F2019" s="677"/>
      <c r="G2019" s="677"/>
      <c r="H2019" s="897"/>
      <c r="I2019" s="898"/>
      <c r="J2019" s="898"/>
      <c r="K2019" s="899"/>
      <c r="L2019" s="899"/>
      <c r="M2019" s="899"/>
      <c r="N2019" s="899"/>
      <c r="O2019" s="899"/>
      <c r="P2019" s="899"/>
      <c r="Q2019" s="573"/>
      <c r="R2019" s="573"/>
      <c r="S2019" s="573"/>
      <c r="T2019" s="573"/>
      <c r="U2019" s="573"/>
      <c r="V2019" s="573"/>
      <c r="W2019" s="573"/>
      <c r="X2019" s="573"/>
      <c r="Y2019" s="573"/>
      <c r="Z2019" s="573"/>
    </row>
    <row r="2020" spans="1:26" ht="18.75">
      <c r="A2020" s="677"/>
      <c r="B2020" s="677"/>
      <c r="C2020" s="677"/>
      <c r="D2020" s="896"/>
      <c r="E2020" s="677"/>
      <c r="F2020" s="677"/>
      <c r="G2020" s="677"/>
      <c r="H2020" s="897"/>
      <c r="I2020" s="898"/>
      <c r="J2020" s="898"/>
      <c r="K2020" s="899"/>
      <c r="L2020" s="899"/>
      <c r="M2020" s="899"/>
      <c r="N2020" s="899"/>
      <c r="O2020" s="899"/>
      <c r="P2020" s="899"/>
      <c r="Q2020" s="573"/>
      <c r="R2020" s="573"/>
      <c r="S2020" s="573"/>
      <c r="T2020" s="573"/>
      <c r="U2020" s="573"/>
      <c r="V2020" s="573"/>
      <c r="W2020" s="573"/>
      <c r="X2020" s="573"/>
      <c r="Y2020" s="573"/>
      <c r="Z2020" s="573"/>
    </row>
    <row r="2021" spans="1:26" ht="18.75">
      <c r="A2021" s="677"/>
      <c r="B2021" s="677"/>
      <c r="C2021" s="677"/>
      <c r="D2021" s="896"/>
      <c r="E2021" s="677"/>
      <c r="F2021" s="677"/>
      <c r="G2021" s="677"/>
      <c r="H2021" s="897"/>
      <c r="I2021" s="898"/>
      <c r="J2021" s="898"/>
      <c r="K2021" s="899"/>
      <c r="L2021" s="899"/>
      <c r="M2021" s="899"/>
      <c r="N2021" s="899"/>
      <c r="O2021" s="899"/>
      <c r="P2021" s="899"/>
      <c r="Q2021" s="573"/>
      <c r="R2021" s="573"/>
      <c r="S2021" s="573"/>
      <c r="T2021" s="573"/>
      <c r="U2021" s="573"/>
      <c r="V2021" s="573"/>
      <c r="W2021" s="573"/>
      <c r="X2021" s="573"/>
      <c r="Y2021" s="573"/>
      <c r="Z2021" s="573"/>
    </row>
    <row r="2022" spans="1:26" ht="18.75">
      <c r="A2022" s="677"/>
      <c r="B2022" s="677"/>
      <c r="C2022" s="677"/>
      <c r="D2022" s="896"/>
      <c r="E2022" s="677"/>
      <c r="F2022" s="677"/>
      <c r="G2022" s="677"/>
      <c r="H2022" s="897"/>
      <c r="I2022" s="898"/>
      <c r="J2022" s="898"/>
      <c r="K2022" s="899"/>
      <c r="L2022" s="899"/>
      <c r="M2022" s="899"/>
      <c r="N2022" s="899"/>
      <c r="O2022" s="899"/>
      <c r="P2022" s="899"/>
      <c r="Q2022" s="573"/>
      <c r="R2022" s="573"/>
      <c r="S2022" s="573"/>
      <c r="T2022" s="573"/>
      <c r="U2022" s="573"/>
      <c r="V2022" s="573"/>
      <c r="W2022" s="573"/>
      <c r="X2022" s="573"/>
      <c r="Y2022" s="573"/>
      <c r="Z2022" s="573"/>
    </row>
    <row r="2023" spans="1:26" ht="18.75">
      <c r="A2023" s="677"/>
      <c r="B2023" s="677"/>
      <c r="C2023" s="677"/>
      <c r="D2023" s="896"/>
      <c r="E2023" s="677"/>
      <c r="F2023" s="677"/>
      <c r="G2023" s="677"/>
      <c r="H2023" s="897"/>
      <c r="I2023" s="898"/>
      <c r="J2023" s="898"/>
      <c r="K2023" s="899"/>
      <c r="L2023" s="899"/>
      <c r="M2023" s="899"/>
      <c r="N2023" s="899"/>
      <c r="O2023" s="899"/>
      <c r="P2023" s="899"/>
      <c r="Q2023" s="573"/>
      <c r="R2023" s="573"/>
      <c r="S2023" s="573"/>
      <c r="T2023" s="573"/>
      <c r="U2023" s="573"/>
      <c r="V2023" s="573"/>
      <c r="W2023" s="573"/>
      <c r="X2023" s="573"/>
      <c r="Y2023" s="573"/>
      <c r="Z2023" s="573"/>
    </row>
    <row r="2024" spans="1:26" ht="18.75">
      <c r="A2024" s="677"/>
      <c r="B2024" s="677"/>
      <c r="C2024" s="677"/>
      <c r="D2024" s="896"/>
      <c r="E2024" s="677"/>
      <c r="F2024" s="677"/>
      <c r="G2024" s="677"/>
      <c r="H2024" s="897"/>
      <c r="I2024" s="898"/>
      <c r="J2024" s="898"/>
      <c r="K2024" s="899"/>
      <c r="L2024" s="899"/>
      <c r="M2024" s="899"/>
      <c r="N2024" s="899"/>
      <c r="O2024" s="899"/>
      <c r="P2024" s="899"/>
      <c r="Q2024" s="573"/>
      <c r="R2024" s="573"/>
      <c r="S2024" s="573"/>
      <c r="T2024" s="573"/>
      <c r="U2024" s="573"/>
      <c r="V2024" s="573"/>
      <c r="W2024" s="573"/>
      <c r="X2024" s="573"/>
      <c r="Y2024" s="573"/>
      <c r="Z2024" s="573"/>
    </row>
    <row r="2025" spans="1:26" ht="18.75">
      <c r="A2025" s="677"/>
      <c r="B2025" s="677"/>
      <c r="C2025" s="677"/>
      <c r="D2025" s="896"/>
      <c r="E2025" s="677"/>
      <c r="F2025" s="677"/>
      <c r="G2025" s="677"/>
      <c r="H2025" s="897"/>
      <c r="I2025" s="898"/>
      <c r="J2025" s="898"/>
      <c r="K2025" s="899"/>
      <c r="L2025" s="899"/>
      <c r="M2025" s="899"/>
      <c r="N2025" s="899"/>
      <c r="O2025" s="899"/>
      <c r="P2025" s="899"/>
      <c r="Q2025" s="573"/>
      <c r="R2025" s="573"/>
      <c r="S2025" s="573"/>
      <c r="T2025" s="573"/>
      <c r="U2025" s="573"/>
      <c r="V2025" s="573"/>
      <c r="W2025" s="573"/>
      <c r="X2025" s="573"/>
      <c r="Y2025" s="573"/>
      <c r="Z2025" s="573"/>
    </row>
    <row r="2026" spans="1:26" ht="18.75">
      <c r="A2026" s="677"/>
      <c r="B2026" s="677"/>
      <c r="C2026" s="677"/>
      <c r="D2026" s="896"/>
      <c r="E2026" s="677"/>
      <c r="F2026" s="677"/>
      <c r="G2026" s="677"/>
      <c r="H2026" s="897"/>
      <c r="I2026" s="898"/>
      <c r="J2026" s="898"/>
      <c r="K2026" s="899"/>
      <c r="L2026" s="899"/>
      <c r="M2026" s="899"/>
      <c r="N2026" s="899"/>
      <c r="O2026" s="899"/>
      <c r="P2026" s="899"/>
      <c r="Q2026" s="573"/>
      <c r="R2026" s="573"/>
      <c r="S2026" s="573"/>
      <c r="T2026" s="573"/>
      <c r="U2026" s="573"/>
      <c r="V2026" s="573"/>
      <c r="W2026" s="573"/>
      <c r="X2026" s="573"/>
      <c r="Y2026" s="573"/>
      <c r="Z2026" s="573"/>
    </row>
    <row r="2027" spans="1:26" ht="18.75">
      <c r="A2027" s="677"/>
      <c r="B2027" s="677"/>
      <c r="C2027" s="677"/>
      <c r="D2027" s="896"/>
      <c r="E2027" s="677"/>
      <c r="F2027" s="677"/>
      <c r="G2027" s="677"/>
      <c r="H2027" s="897"/>
      <c r="I2027" s="898"/>
      <c r="J2027" s="898"/>
      <c r="K2027" s="899"/>
      <c r="L2027" s="899"/>
      <c r="M2027" s="899"/>
      <c r="N2027" s="899"/>
      <c r="O2027" s="899"/>
      <c r="P2027" s="899"/>
      <c r="Q2027" s="573"/>
      <c r="R2027" s="573"/>
      <c r="S2027" s="573"/>
      <c r="T2027" s="573"/>
      <c r="U2027" s="573"/>
      <c r="V2027" s="573"/>
      <c r="W2027" s="573"/>
      <c r="X2027" s="573"/>
      <c r="Y2027" s="573"/>
      <c r="Z2027" s="573"/>
    </row>
    <row r="2028" spans="1:26" ht="18.75">
      <c r="A2028" s="677"/>
      <c r="B2028" s="677"/>
      <c r="C2028" s="677"/>
      <c r="D2028" s="896"/>
      <c r="E2028" s="677"/>
      <c r="F2028" s="677"/>
      <c r="G2028" s="677"/>
      <c r="H2028" s="897"/>
      <c r="I2028" s="898"/>
      <c r="J2028" s="898"/>
      <c r="K2028" s="899"/>
      <c r="L2028" s="899"/>
      <c r="M2028" s="899"/>
      <c r="N2028" s="899"/>
      <c r="O2028" s="899"/>
      <c r="P2028" s="899"/>
      <c r="Q2028" s="573"/>
      <c r="R2028" s="573"/>
      <c r="S2028" s="573"/>
      <c r="T2028" s="573"/>
      <c r="U2028" s="573"/>
      <c r="V2028" s="573"/>
      <c r="W2028" s="573"/>
      <c r="X2028" s="573"/>
      <c r="Y2028" s="573"/>
      <c r="Z2028" s="573"/>
    </row>
    <row r="2029" spans="1:26" ht="18.75">
      <c r="A2029" s="677"/>
      <c r="B2029" s="677"/>
      <c r="C2029" s="677"/>
      <c r="D2029" s="896"/>
      <c r="E2029" s="677"/>
      <c r="F2029" s="677"/>
      <c r="G2029" s="677"/>
      <c r="H2029" s="897"/>
      <c r="I2029" s="898"/>
      <c r="J2029" s="898"/>
      <c r="K2029" s="899"/>
      <c r="L2029" s="899"/>
      <c r="M2029" s="899"/>
      <c r="N2029" s="899"/>
      <c r="O2029" s="899"/>
      <c r="P2029" s="899"/>
      <c r="Q2029" s="573"/>
      <c r="R2029" s="573"/>
      <c r="S2029" s="573"/>
      <c r="T2029" s="573"/>
      <c r="U2029" s="573"/>
      <c r="V2029" s="573"/>
      <c r="W2029" s="573"/>
      <c r="X2029" s="573"/>
      <c r="Y2029" s="573"/>
      <c r="Z2029" s="573"/>
    </row>
    <row r="2030" spans="1:26" ht="18.75">
      <c r="A2030" s="677"/>
      <c r="B2030" s="677"/>
      <c r="C2030" s="677"/>
      <c r="D2030" s="896"/>
      <c r="E2030" s="677"/>
      <c r="F2030" s="677"/>
      <c r="G2030" s="677"/>
      <c r="H2030" s="897"/>
      <c r="I2030" s="898"/>
      <c r="J2030" s="898"/>
      <c r="K2030" s="899"/>
      <c r="L2030" s="899"/>
      <c r="M2030" s="899"/>
      <c r="N2030" s="899"/>
      <c r="O2030" s="899"/>
      <c r="P2030" s="899"/>
      <c r="Q2030" s="573"/>
      <c r="R2030" s="573"/>
      <c r="S2030" s="573"/>
      <c r="T2030" s="573"/>
      <c r="U2030" s="573"/>
      <c r="V2030" s="573"/>
      <c r="W2030" s="573"/>
      <c r="X2030" s="573"/>
      <c r="Y2030" s="573"/>
      <c r="Z2030" s="573"/>
    </row>
    <row r="2031" spans="1:26" ht="18.75">
      <c r="A2031" s="677"/>
      <c r="B2031" s="677"/>
      <c r="C2031" s="677"/>
      <c r="D2031" s="896"/>
      <c r="E2031" s="677"/>
      <c r="F2031" s="677"/>
      <c r="G2031" s="677"/>
      <c r="H2031" s="897"/>
      <c r="I2031" s="898"/>
      <c r="J2031" s="898"/>
      <c r="K2031" s="899"/>
      <c r="L2031" s="899"/>
      <c r="M2031" s="899"/>
      <c r="N2031" s="899"/>
      <c r="O2031" s="899"/>
      <c r="P2031" s="899"/>
      <c r="Q2031" s="573"/>
      <c r="R2031" s="573"/>
      <c r="S2031" s="573"/>
      <c r="T2031" s="573"/>
      <c r="U2031" s="573"/>
      <c r="V2031" s="573"/>
      <c r="W2031" s="573"/>
      <c r="X2031" s="573"/>
      <c r="Y2031" s="573"/>
      <c r="Z2031" s="573"/>
    </row>
    <row r="2032" spans="1:26" ht="18.75">
      <c r="A2032" s="677"/>
      <c r="B2032" s="677"/>
      <c r="C2032" s="677"/>
      <c r="D2032" s="896"/>
      <c r="E2032" s="677"/>
      <c r="F2032" s="677"/>
      <c r="G2032" s="677"/>
      <c r="H2032" s="897"/>
      <c r="I2032" s="898"/>
      <c r="J2032" s="898"/>
      <c r="K2032" s="899"/>
      <c r="L2032" s="899"/>
      <c r="M2032" s="899"/>
      <c r="N2032" s="899"/>
      <c r="O2032" s="899"/>
      <c r="P2032" s="899"/>
      <c r="Q2032" s="573"/>
      <c r="R2032" s="573"/>
      <c r="S2032" s="573"/>
      <c r="T2032" s="573"/>
      <c r="U2032" s="573"/>
      <c r="V2032" s="573"/>
      <c r="W2032" s="573"/>
      <c r="X2032" s="573"/>
      <c r="Y2032" s="573"/>
      <c r="Z2032" s="573"/>
    </row>
    <row r="2033" spans="1:26" ht="18.75">
      <c r="A2033" s="677"/>
      <c r="B2033" s="677"/>
      <c r="C2033" s="677"/>
      <c r="D2033" s="896"/>
      <c r="E2033" s="677"/>
      <c r="F2033" s="677"/>
      <c r="G2033" s="677"/>
      <c r="H2033" s="897"/>
      <c r="I2033" s="898"/>
      <c r="J2033" s="898"/>
      <c r="K2033" s="899"/>
      <c r="L2033" s="899"/>
      <c r="M2033" s="899"/>
      <c r="N2033" s="899"/>
      <c r="O2033" s="899"/>
      <c r="P2033" s="899"/>
      <c r="Q2033" s="573"/>
      <c r="R2033" s="573"/>
      <c r="S2033" s="573"/>
      <c r="T2033" s="573"/>
      <c r="U2033" s="573"/>
      <c r="V2033" s="573"/>
      <c r="W2033" s="573"/>
      <c r="X2033" s="573"/>
      <c r="Y2033" s="573"/>
      <c r="Z2033" s="573"/>
    </row>
    <row r="2034" spans="1:26" ht="18.75">
      <c r="A2034" s="677"/>
      <c r="B2034" s="677"/>
      <c r="C2034" s="677"/>
      <c r="D2034" s="896"/>
      <c r="E2034" s="677"/>
      <c r="F2034" s="677"/>
      <c r="G2034" s="677"/>
      <c r="H2034" s="897"/>
      <c r="I2034" s="898"/>
      <c r="J2034" s="898"/>
      <c r="K2034" s="899"/>
      <c r="L2034" s="899"/>
      <c r="M2034" s="899"/>
      <c r="N2034" s="899"/>
      <c r="O2034" s="899"/>
      <c r="P2034" s="899"/>
      <c r="Q2034" s="573"/>
      <c r="R2034" s="573"/>
      <c r="S2034" s="573"/>
      <c r="T2034" s="573"/>
      <c r="U2034" s="573"/>
      <c r="V2034" s="573"/>
      <c r="W2034" s="573"/>
      <c r="X2034" s="573"/>
      <c r="Y2034" s="573"/>
      <c r="Z2034" s="573"/>
    </row>
    <row r="2035" spans="1:26" ht="18.75">
      <c r="A2035" s="677"/>
      <c r="B2035" s="677"/>
      <c r="C2035" s="677"/>
      <c r="D2035" s="896"/>
      <c r="E2035" s="677"/>
      <c r="F2035" s="677"/>
      <c r="G2035" s="677"/>
      <c r="H2035" s="897"/>
      <c r="I2035" s="898"/>
      <c r="J2035" s="898"/>
      <c r="K2035" s="899"/>
      <c r="L2035" s="899"/>
      <c r="M2035" s="899"/>
      <c r="N2035" s="899"/>
      <c r="O2035" s="899"/>
      <c r="P2035" s="899"/>
      <c r="Q2035" s="573"/>
      <c r="R2035" s="573"/>
      <c r="S2035" s="573"/>
      <c r="T2035" s="573"/>
      <c r="U2035" s="573"/>
      <c r="V2035" s="573"/>
      <c r="W2035" s="573"/>
      <c r="X2035" s="573"/>
      <c r="Y2035" s="573"/>
      <c r="Z2035" s="573"/>
    </row>
    <row r="2036" spans="1:26" ht="18.75">
      <c r="A2036" s="677"/>
      <c r="B2036" s="677"/>
      <c r="C2036" s="677"/>
      <c r="D2036" s="896"/>
      <c r="E2036" s="677"/>
      <c r="F2036" s="677"/>
      <c r="G2036" s="677"/>
      <c r="H2036" s="897"/>
      <c r="I2036" s="898"/>
      <c r="J2036" s="898"/>
      <c r="K2036" s="899"/>
      <c r="L2036" s="899"/>
      <c r="M2036" s="899"/>
      <c r="N2036" s="899"/>
      <c r="O2036" s="899"/>
      <c r="P2036" s="899"/>
      <c r="Q2036" s="573"/>
      <c r="R2036" s="573"/>
      <c r="S2036" s="573"/>
      <c r="T2036" s="573"/>
      <c r="U2036" s="573"/>
      <c r="V2036" s="573"/>
      <c r="W2036" s="573"/>
      <c r="X2036" s="573"/>
      <c r="Y2036" s="573"/>
      <c r="Z2036" s="573"/>
    </row>
    <row r="2037" spans="1:26" ht="18.75">
      <c r="A2037" s="677"/>
      <c r="B2037" s="677"/>
      <c r="C2037" s="677"/>
      <c r="D2037" s="896"/>
      <c r="E2037" s="677"/>
      <c r="F2037" s="677"/>
      <c r="G2037" s="677"/>
      <c r="H2037" s="897"/>
      <c r="I2037" s="898"/>
      <c r="J2037" s="898"/>
      <c r="K2037" s="899"/>
      <c r="L2037" s="899"/>
      <c r="M2037" s="899"/>
      <c r="N2037" s="899"/>
      <c r="O2037" s="899"/>
      <c r="P2037" s="899"/>
      <c r="Q2037" s="573"/>
      <c r="R2037" s="573"/>
      <c r="S2037" s="573"/>
      <c r="T2037" s="573"/>
      <c r="U2037" s="573"/>
      <c r="V2037" s="573"/>
      <c r="W2037" s="573"/>
      <c r="X2037" s="573"/>
      <c r="Y2037" s="573"/>
      <c r="Z2037" s="573"/>
    </row>
    <row r="2038" spans="1:26" ht="18.75">
      <c r="A2038" s="677"/>
      <c r="B2038" s="677"/>
      <c r="C2038" s="677"/>
      <c r="D2038" s="896"/>
      <c r="E2038" s="677"/>
      <c r="F2038" s="677"/>
      <c r="G2038" s="677"/>
      <c r="H2038" s="897"/>
      <c r="I2038" s="898"/>
      <c r="J2038" s="898"/>
      <c r="K2038" s="899"/>
      <c r="L2038" s="899"/>
      <c r="M2038" s="899"/>
      <c r="N2038" s="899"/>
      <c r="O2038" s="899"/>
      <c r="P2038" s="899"/>
      <c r="Q2038" s="573"/>
      <c r="R2038" s="573"/>
      <c r="S2038" s="573"/>
      <c r="T2038" s="573"/>
      <c r="U2038" s="573"/>
      <c r="V2038" s="573"/>
      <c r="W2038" s="573"/>
      <c r="X2038" s="573"/>
      <c r="Y2038" s="573"/>
      <c r="Z2038" s="573"/>
    </row>
    <row r="2039" spans="1:26" ht="18.75">
      <c r="A2039" s="677"/>
      <c r="B2039" s="677"/>
      <c r="C2039" s="677"/>
      <c r="D2039" s="896"/>
      <c r="E2039" s="677"/>
      <c r="F2039" s="677"/>
      <c r="G2039" s="677"/>
      <c r="H2039" s="897"/>
      <c r="I2039" s="898"/>
      <c r="J2039" s="898"/>
      <c r="K2039" s="899"/>
      <c r="L2039" s="899"/>
      <c r="M2039" s="899"/>
      <c r="N2039" s="899"/>
      <c r="O2039" s="899"/>
      <c r="P2039" s="899"/>
      <c r="Q2039" s="573"/>
      <c r="R2039" s="573"/>
      <c r="S2039" s="573"/>
      <c r="T2039" s="573"/>
      <c r="U2039" s="573"/>
      <c r="V2039" s="573"/>
      <c r="W2039" s="573"/>
      <c r="X2039" s="573"/>
      <c r="Y2039" s="573"/>
      <c r="Z2039" s="573"/>
    </row>
    <row r="2040" spans="1:26" ht="18.75">
      <c r="A2040" s="677"/>
      <c r="B2040" s="677"/>
      <c r="C2040" s="677"/>
      <c r="D2040" s="896"/>
      <c r="E2040" s="677"/>
      <c r="F2040" s="677"/>
      <c r="G2040" s="677"/>
      <c r="H2040" s="897"/>
      <c r="I2040" s="898"/>
      <c r="J2040" s="898"/>
      <c r="K2040" s="899"/>
      <c r="L2040" s="899"/>
      <c r="M2040" s="899"/>
      <c r="N2040" s="899"/>
      <c r="O2040" s="899"/>
      <c r="P2040" s="899"/>
      <c r="Q2040" s="573"/>
      <c r="R2040" s="573"/>
      <c r="S2040" s="573"/>
      <c r="T2040" s="573"/>
      <c r="U2040" s="573"/>
      <c r="V2040" s="573"/>
      <c r="W2040" s="573"/>
      <c r="X2040" s="573"/>
      <c r="Y2040" s="573"/>
      <c r="Z2040" s="573"/>
    </row>
    <row r="2041" spans="1:26" ht="18.75">
      <c r="A2041" s="677"/>
      <c r="B2041" s="677"/>
      <c r="C2041" s="677"/>
      <c r="D2041" s="896"/>
      <c r="E2041" s="677"/>
      <c r="F2041" s="677"/>
      <c r="G2041" s="677"/>
      <c r="H2041" s="897"/>
      <c r="I2041" s="898"/>
      <c r="J2041" s="898"/>
      <c r="K2041" s="899"/>
      <c r="L2041" s="899"/>
      <c r="M2041" s="899"/>
      <c r="N2041" s="899"/>
      <c r="O2041" s="899"/>
      <c r="P2041" s="899"/>
      <c r="Q2041" s="573"/>
      <c r="R2041" s="573"/>
      <c r="S2041" s="573"/>
      <c r="T2041" s="573"/>
      <c r="U2041" s="573"/>
      <c r="V2041" s="573"/>
      <c r="W2041" s="573"/>
      <c r="X2041" s="573"/>
      <c r="Y2041" s="573"/>
      <c r="Z2041" s="573"/>
    </row>
    <row r="2042" spans="1:26" ht="18.75">
      <c r="A2042" s="677"/>
      <c r="B2042" s="677"/>
      <c r="C2042" s="677"/>
      <c r="D2042" s="896"/>
      <c r="E2042" s="677"/>
      <c r="F2042" s="677"/>
      <c r="G2042" s="677"/>
      <c r="H2042" s="897"/>
      <c r="I2042" s="898"/>
      <c r="J2042" s="898"/>
      <c r="K2042" s="899"/>
      <c r="L2042" s="899"/>
      <c r="M2042" s="899"/>
      <c r="N2042" s="899"/>
      <c r="O2042" s="899"/>
      <c r="P2042" s="899"/>
      <c r="Q2042" s="573"/>
      <c r="R2042" s="573"/>
      <c r="S2042" s="573"/>
      <c r="T2042" s="573"/>
      <c r="U2042" s="573"/>
      <c r="V2042" s="573"/>
      <c r="W2042" s="573"/>
      <c r="X2042" s="573"/>
      <c r="Y2042" s="573"/>
      <c r="Z2042" s="573"/>
    </row>
    <row r="2043" spans="1:26" ht="18.75">
      <c r="A2043" s="677"/>
      <c r="B2043" s="677"/>
      <c r="C2043" s="677"/>
      <c r="D2043" s="896"/>
      <c r="E2043" s="677"/>
      <c r="F2043" s="677"/>
      <c r="G2043" s="677"/>
      <c r="H2043" s="897"/>
      <c r="I2043" s="898"/>
      <c r="J2043" s="898"/>
      <c r="K2043" s="899"/>
      <c r="L2043" s="899"/>
      <c r="M2043" s="899"/>
      <c r="N2043" s="899"/>
      <c r="O2043" s="899"/>
      <c r="P2043" s="899"/>
      <c r="Q2043" s="573"/>
      <c r="R2043" s="573"/>
      <c r="S2043" s="573"/>
      <c r="T2043" s="573"/>
      <c r="U2043" s="573"/>
      <c r="V2043" s="573"/>
      <c r="W2043" s="573"/>
      <c r="X2043" s="573"/>
      <c r="Y2043" s="573"/>
      <c r="Z2043" s="573"/>
    </row>
    <row r="2044" spans="1:26" ht="18.75">
      <c r="A2044" s="677"/>
      <c r="B2044" s="677"/>
      <c r="C2044" s="677"/>
      <c r="D2044" s="896"/>
      <c r="E2044" s="677"/>
      <c r="F2044" s="677"/>
      <c r="G2044" s="677"/>
      <c r="H2044" s="897"/>
      <c r="I2044" s="898"/>
      <c r="J2044" s="898"/>
      <c r="K2044" s="899"/>
      <c r="L2044" s="899"/>
      <c r="M2044" s="899"/>
      <c r="N2044" s="899"/>
      <c r="O2044" s="899"/>
      <c r="P2044" s="899"/>
      <c r="Q2044" s="573"/>
      <c r="R2044" s="573"/>
      <c r="S2044" s="573"/>
      <c r="T2044" s="573"/>
      <c r="U2044" s="573"/>
      <c r="V2044" s="573"/>
      <c r="W2044" s="573"/>
      <c r="X2044" s="573"/>
      <c r="Y2044" s="573"/>
      <c r="Z2044" s="573"/>
    </row>
    <row r="2045" spans="1:26" ht="18.75">
      <c r="A2045" s="677"/>
      <c r="B2045" s="677"/>
      <c r="C2045" s="677"/>
      <c r="D2045" s="896"/>
      <c r="E2045" s="677"/>
      <c r="F2045" s="677"/>
      <c r="G2045" s="677"/>
      <c r="H2045" s="897"/>
      <c r="I2045" s="898"/>
      <c r="J2045" s="898"/>
      <c r="K2045" s="899"/>
      <c r="L2045" s="899"/>
      <c r="M2045" s="899"/>
      <c r="N2045" s="899"/>
      <c r="O2045" s="899"/>
      <c r="P2045" s="899"/>
      <c r="Q2045" s="573"/>
      <c r="R2045" s="573"/>
      <c r="S2045" s="573"/>
      <c r="T2045" s="573"/>
      <c r="U2045" s="573"/>
      <c r="V2045" s="573"/>
      <c r="W2045" s="573"/>
      <c r="X2045" s="573"/>
      <c r="Y2045" s="573"/>
      <c r="Z2045" s="573"/>
    </row>
    <row r="2046" spans="1:26" ht="18.75">
      <c r="A2046" s="677"/>
      <c r="B2046" s="677"/>
      <c r="C2046" s="677"/>
      <c r="D2046" s="896"/>
      <c r="E2046" s="677"/>
      <c r="F2046" s="677"/>
      <c r="G2046" s="677"/>
      <c r="H2046" s="897"/>
      <c r="I2046" s="898"/>
      <c r="J2046" s="898"/>
      <c r="K2046" s="899"/>
      <c r="L2046" s="899"/>
      <c r="M2046" s="899"/>
      <c r="N2046" s="899"/>
      <c r="O2046" s="899"/>
      <c r="P2046" s="899"/>
      <c r="Q2046" s="573"/>
      <c r="R2046" s="573"/>
      <c r="S2046" s="573"/>
      <c r="T2046" s="573"/>
      <c r="U2046" s="573"/>
      <c r="V2046" s="573"/>
      <c r="W2046" s="573"/>
      <c r="X2046" s="573"/>
      <c r="Y2046" s="573"/>
      <c r="Z2046" s="573"/>
    </row>
    <row r="2047" spans="1:26" ht="18.75">
      <c r="A2047" s="677"/>
      <c r="B2047" s="677"/>
      <c r="C2047" s="677"/>
      <c r="D2047" s="896"/>
      <c r="E2047" s="677"/>
      <c r="F2047" s="677"/>
      <c r="G2047" s="677"/>
      <c r="H2047" s="897"/>
      <c r="I2047" s="898"/>
      <c r="J2047" s="898"/>
      <c r="K2047" s="899"/>
      <c r="L2047" s="899"/>
      <c r="M2047" s="899"/>
      <c r="N2047" s="899"/>
      <c r="O2047" s="899"/>
      <c r="P2047" s="899"/>
      <c r="Q2047" s="573"/>
      <c r="R2047" s="573"/>
      <c r="S2047" s="573"/>
      <c r="T2047" s="573"/>
      <c r="U2047" s="573"/>
      <c r="V2047" s="573"/>
      <c r="W2047" s="573"/>
      <c r="X2047" s="573"/>
      <c r="Y2047" s="573"/>
      <c r="Z2047" s="573"/>
    </row>
    <row r="2048" spans="1:26" ht="18.75">
      <c r="A2048" s="677"/>
      <c r="B2048" s="677"/>
      <c r="C2048" s="677"/>
      <c r="D2048" s="896"/>
      <c r="E2048" s="677"/>
      <c r="F2048" s="677"/>
      <c r="G2048" s="677"/>
      <c r="H2048" s="897"/>
      <c r="I2048" s="898"/>
      <c r="J2048" s="898"/>
      <c r="K2048" s="899"/>
      <c r="L2048" s="899"/>
      <c r="M2048" s="899"/>
      <c r="N2048" s="899"/>
      <c r="O2048" s="899"/>
      <c r="P2048" s="899"/>
      <c r="Q2048" s="573"/>
      <c r="R2048" s="573"/>
      <c r="S2048" s="573"/>
      <c r="T2048" s="573"/>
      <c r="U2048" s="573"/>
      <c r="V2048" s="573"/>
      <c r="W2048" s="573"/>
      <c r="X2048" s="573"/>
      <c r="Y2048" s="573"/>
      <c r="Z2048" s="573"/>
    </row>
    <row r="2049" spans="1:26" ht="18.75">
      <c r="A2049" s="677"/>
      <c r="B2049" s="677"/>
      <c r="C2049" s="677"/>
      <c r="D2049" s="896"/>
      <c r="E2049" s="677"/>
      <c r="F2049" s="677"/>
      <c r="G2049" s="677"/>
      <c r="H2049" s="897"/>
      <c r="I2049" s="898"/>
      <c r="J2049" s="898"/>
      <c r="K2049" s="899"/>
      <c r="L2049" s="899"/>
      <c r="M2049" s="899"/>
      <c r="N2049" s="899"/>
      <c r="O2049" s="899"/>
      <c r="P2049" s="899"/>
      <c r="Q2049" s="573"/>
      <c r="R2049" s="573"/>
      <c r="S2049" s="573"/>
      <c r="T2049" s="573"/>
      <c r="U2049" s="573"/>
      <c r="V2049" s="573"/>
      <c r="W2049" s="573"/>
      <c r="X2049" s="573"/>
      <c r="Y2049" s="573"/>
      <c r="Z2049" s="573"/>
    </row>
    <row r="2050" spans="1:26" ht="18.75">
      <c r="A2050" s="677"/>
      <c r="B2050" s="677"/>
      <c r="C2050" s="677"/>
      <c r="D2050" s="896"/>
      <c r="E2050" s="677"/>
      <c r="F2050" s="677"/>
      <c r="G2050" s="677"/>
      <c r="H2050" s="897"/>
      <c r="I2050" s="898"/>
      <c r="J2050" s="898"/>
      <c r="K2050" s="899"/>
      <c r="L2050" s="899"/>
      <c r="M2050" s="899"/>
      <c r="N2050" s="899"/>
      <c r="O2050" s="899"/>
      <c r="P2050" s="899"/>
      <c r="Q2050" s="573"/>
      <c r="R2050" s="573"/>
      <c r="S2050" s="573"/>
      <c r="T2050" s="573"/>
      <c r="U2050" s="573"/>
      <c r="V2050" s="573"/>
      <c r="W2050" s="573"/>
      <c r="X2050" s="573"/>
      <c r="Y2050" s="573"/>
      <c r="Z2050" s="573"/>
    </row>
    <row r="2051" spans="1:26" ht="18.75">
      <c r="A2051" s="677"/>
      <c r="B2051" s="677"/>
      <c r="C2051" s="677"/>
      <c r="D2051" s="896"/>
      <c r="E2051" s="677"/>
      <c r="F2051" s="677"/>
      <c r="G2051" s="677"/>
      <c r="H2051" s="897"/>
      <c r="I2051" s="898"/>
      <c r="J2051" s="898"/>
      <c r="K2051" s="899"/>
      <c r="L2051" s="899"/>
      <c r="M2051" s="899"/>
      <c r="N2051" s="899"/>
      <c r="O2051" s="899"/>
      <c r="P2051" s="899"/>
      <c r="Q2051" s="573"/>
      <c r="R2051" s="573"/>
      <c r="S2051" s="573"/>
      <c r="T2051" s="573"/>
      <c r="U2051" s="573"/>
      <c r="V2051" s="573"/>
      <c r="W2051" s="573"/>
      <c r="X2051" s="573"/>
      <c r="Y2051" s="573"/>
      <c r="Z2051" s="573"/>
    </row>
    <row r="2052" spans="1:26" ht="18.75">
      <c r="A2052" s="677"/>
      <c r="B2052" s="677"/>
      <c r="C2052" s="677"/>
      <c r="D2052" s="896"/>
      <c r="E2052" s="677"/>
      <c r="F2052" s="677"/>
      <c r="G2052" s="677"/>
      <c r="H2052" s="897"/>
      <c r="I2052" s="898"/>
      <c r="J2052" s="898"/>
      <c r="K2052" s="899"/>
      <c r="L2052" s="899"/>
      <c r="M2052" s="899"/>
      <c r="N2052" s="899"/>
      <c r="O2052" s="899"/>
      <c r="P2052" s="899"/>
      <c r="Q2052" s="573"/>
      <c r="R2052" s="573"/>
      <c r="S2052" s="573"/>
      <c r="T2052" s="573"/>
      <c r="U2052" s="573"/>
      <c r="V2052" s="573"/>
      <c r="W2052" s="573"/>
      <c r="X2052" s="573"/>
      <c r="Y2052" s="573"/>
      <c r="Z2052" s="573"/>
    </row>
    <row r="2053" spans="1:26" ht="18.75">
      <c r="A2053" s="677"/>
      <c r="B2053" s="677"/>
      <c r="C2053" s="677"/>
      <c r="D2053" s="896"/>
      <c r="E2053" s="677"/>
      <c r="F2053" s="677"/>
      <c r="G2053" s="677"/>
      <c r="H2053" s="897"/>
      <c r="I2053" s="898"/>
      <c r="J2053" s="898"/>
      <c r="K2053" s="899"/>
      <c r="L2053" s="899"/>
      <c r="M2053" s="899"/>
      <c r="N2053" s="899"/>
      <c r="O2053" s="899"/>
      <c r="P2053" s="899"/>
      <c r="Q2053" s="573"/>
      <c r="R2053" s="573"/>
      <c r="S2053" s="573"/>
      <c r="T2053" s="573"/>
      <c r="U2053" s="573"/>
      <c r="V2053" s="573"/>
      <c r="W2053" s="573"/>
      <c r="X2053" s="573"/>
      <c r="Y2053" s="573"/>
      <c r="Z2053" s="573"/>
    </row>
    <row r="2054" spans="1:26" ht="18.75">
      <c r="A2054" s="677"/>
      <c r="B2054" s="677"/>
      <c r="C2054" s="677"/>
      <c r="D2054" s="896"/>
      <c r="E2054" s="677"/>
      <c r="F2054" s="677"/>
      <c r="G2054" s="677"/>
      <c r="H2054" s="897"/>
      <c r="I2054" s="898"/>
      <c r="J2054" s="898"/>
      <c r="K2054" s="899"/>
      <c r="L2054" s="899"/>
      <c r="M2054" s="899"/>
      <c r="N2054" s="899"/>
      <c r="O2054" s="899"/>
      <c r="P2054" s="899"/>
      <c r="Q2054" s="573"/>
      <c r="R2054" s="573"/>
      <c r="S2054" s="573"/>
      <c r="T2054" s="573"/>
      <c r="U2054" s="573"/>
      <c r="V2054" s="573"/>
      <c r="W2054" s="573"/>
      <c r="X2054" s="573"/>
      <c r="Y2054" s="573"/>
      <c r="Z2054" s="573"/>
    </row>
    <row r="2055" spans="1:26" ht="18.75">
      <c r="A2055" s="677"/>
      <c r="B2055" s="677"/>
      <c r="C2055" s="677"/>
      <c r="D2055" s="896"/>
      <c r="E2055" s="677"/>
      <c r="F2055" s="677"/>
      <c r="G2055" s="677"/>
      <c r="H2055" s="897"/>
      <c r="I2055" s="898"/>
      <c r="J2055" s="898"/>
      <c r="K2055" s="899"/>
      <c r="L2055" s="899"/>
      <c r="M2055" s="899"/>
      <c r="N2055" s="899"/>
      <c r="O2055" s="899"/>
      <c r="P2055" s="899"/>
      <c r="Q2055" s="573"/>
      <c r="R2055" s="573"/>
      <c r="S2055" s="573"/>
      <c r="T2055" s="573"/>
      <c r="U2055" s="573"/>
      <c r="V2055" s="573"/>
      <c r="W2055" s="573"/>
      <c r="X2055" s="573"/>
      <c r="Y2055" s="573"/>
      <c r="Z2055" s="573"/>
    </row>
    <row r="2056" spans="1:26" ht="18.75">
      <c r="A2056" s="677"/>
      <c r="B2056" s="677"/>
      <c r="C2056" s="677"/>
      <c r="D2056" s="896"/>
      <c r="E2056" s="677"/>
      <c r="F2056" s="677"/>
      <c r="G2056" s="677"/>
      <c r="H2056" s="897"/>
      <c r="I2056" s="898"/>
      <c r="J2056" s="898"/>
      <c r="K2056" s="899"/>
      <c r="L2056" s="899"/>
      <c r="M2056" s="899"/>
      <c r="N2056" s="899"/>
      <c r="O2056" s="899"/>
      <c r="P2056" s="899"/>
      <c r="Q2056" s="573"/>
      <c r="R2056" s="573"/>
      <c r="S2056" s="573"/>
      <c r="T2056" s="573"/>
      <c r="U2056" s="573"/>
      <c r="V2056" s="573"/>
      <c r="W2056" s="573"/>
      <c r="X2056" s="573"/>
      <c r="Y2056" s="573"/>
      <c r="Z2056" s="573"/>
    </row>
    <row r="2057" spans="1:26" ht="18.75">
      <c r="A2057" s="677"/>
      <c r="B2057" s="677"/>
      <c r="C2057" s="677"/>
      <c r="D2057" s="896"/>
      <c r="E2057" s="677"/>
      <c r="F2057" s="677"/>
      <c r="G2057" s="677"/>
      <c r="H2057" s="897"/>
      <c r="I2057" s="898"/>
      <c r="J2057" s="898"/>
      <c r="K2057" s="899"/>
      <c r="L2057" s="899"/>
      <c r="M2057" s="899"/>
      <c r="N2057" s="899"/>
      <c r="O2057" s="899"/>
      <c r="P2057" s="899"/>
      <c r="Q2057" s="573"/>
      <c r="R2057" s="573"/>
      <c r="S2057" s="573"/>
      <c r="T2057" s="573"/>
      <c r="U2057" s="573"/>
      <c r="V2057" s="573"/>
      <c r="W2057" s="573"/>
      <c r="X2057" s="573"/>
      <c r="Y2057" s="573"/>
      <c r="Z2057" s="573"/>
    </row>
    <row r="2058" spans="1:26" ht="18.75">
      <c r="A2058" s="677"/>
      <c r="B2058" s="677"/>
      <c r="C2058" s="677"/>
      <c r="D2058" s="896"/>
      <c r="E2058" s="677"/>
      <c r="F2058" s="677"/>
      <c r="G2058" s="677"/>
      <c r="H2058" s="897"/>
      <c r="I2058" s="898"/>
      <c r="J2058" s="898"/>
      <c r="K2058" s="899"/>
      <c r="L2058" s="899"/>
      <c r="M2058" s="899"/>
      <c r="N2058" s="899"/>
      <c r="O2058" s="899"/>
      <c r="P2058" s="899"/>
      <c r="Q2058" s="573"/>
      <c r="R2058" s="573"/>
      <c r="S2058" s="573"/>
      <c r="T2058" s="573"/>
      <c r="U2058" s="573"/>
      <c r="V2058" s="573"/>
      <c r="W2058" s="573"/>
      <c r="X2058" s="573"/>
      <c r="Y2058" s="573"/>
      <c r="Z2058" s="573"/>
    </row>
    <row r="2059" spans="1:26" ht="18.75">
      <c r="A2059" s="677"/>
      <c r="B2059" s="677"/>
      <c r="C2059" s="677"/>
      <c r="D2059" s="896"/>
      <c r="E2059" s="677"/>
      <c r="F2059" s="677"/>
      <c r="G2059" s="677"/>
      <c r="H2059" s="897"/>
      <c r="I2059" s="898"/>
      <c r="J2059" s="898"/>
      <c r="K2059" s="899"/>
      <c r="L2059" s="899"/>
      <c r="M2059" s="899"/>
      <c r="N2059" s="899"/>
      <c r="O2059" s="899"/>
      <c r="P2059" s="899"/>
      <c r="Q2059" s="573"/>
      <c r="R2059" s="573"/>
      <c r="S2059" s="573"/>
      <c r="T2059" s="573"/>
      <c r="U2059" s="573"/>
      <c r="V2059" s="573"/>
      <c r="W2059" s="573"/>
      <c r="X2059" s="573"/>
      <c r="Y2059" s="573"/>
      <c r="Z2059" s="573"/>
    </row>
    <row r="2060" spans="1:26" ht="18.75">
      <c r="A2060" s="677"/>
      <c r="B2060" s="677"/>
      <c r="C2060" s="677"/>
      <c r="D2060" s="896"/>
      <c r="E2060" s="677"/>
      <c r="F2060" s="677"/>
      <c r="G2060" s="677"/>
      <c r="H2060" s="897"/>
      <c r="I2060" s="898"/>
      <c r="J2060" s="898"/>
      <c r="K2060" s="899"/>
      <c r="L2060" s="899"/>
      <c r="M2060" s="899"/>
      <c r="N2060" s="899"/>
      <c r="O2060" s="899"/>
      <c r="P2060" s="899"/>
      <c r="Q2060" s="573"/>
      <c r="R2060" s="573"/>
      <c r="S2060" s="573"/>
      <c r="T2060" s="573"/>
      <c r="U2060" s="573"/>
      <c r="V2060" s="573"/>
      <c r="W2060" s="573"/>
      <c r="X2060" s="573"/>
      <c r="Y2060" s="573"/>
      <c r="Z2060" s="573"/>
    </row>
    <row r="2061" spans="1:26" ht="18.75">
      <c r="A2061" s="677"/>
      <c r="B2061" s="677"/>
      <c r="C2061" s="677"/>
      <c r="D2061" s="896"/>
      <c r="E2061" s="677"/>
      <c r="F2061" s="677"/>
      <c r="G2061" s="677"/>
      <c r="H2061" s="897"/>
      <c r="I2061" s="898"/>
      <c r="J2061" s="898"/>
      <c r="K2061" s="899"/>
      <c r="L2061" s="899"/>
      <c r="M2061" s="899"/>
      <c r="N2061" s="899"/>
      <c r="O2061" s="899"/>
      <c r="P2061" s="899"/>
      <c r="Q2061" s="573"/>
      <c r="R2061" s="573"/>
      <c r="S2061" s="573"/>
      <c r="T2061" s="573"/>
      <c r="U2061" s="573"/>
      <c r="V2061" s="573"/>
      <c r="W2061" s="573"/>
      <c r="X2061" s="573"/>
      <c r="Y2061" s="573"/>
      <c r="Z2061" s="573"/>
    </row>
    <row r="2062" spans="1:26" ht="18.75">
      <c r="A2062" s="677"/>
      <c r="B2062" s="677"/>
      <c r="C2062" s="677"/>
      <c r="D2062" s="896"/>
      <c r="E2062" s="677"/>
      <c r="F2062" s="677"/>
      <c r="G2062" s="677"/>
      <c r="H2062" s="897"/>
      <c r="I2062" s="898"/>
      <c r="J2062" s="898"/>
      <c r="K2062" s="899"/>
      <c r="L2062" s="899"/>
      <c r="M2062" s="899"/>
      <c r="N2062" s="899"/>
      <c r="O2062" s="899"/>
      <c r="P2062" s="899"/>
      <c r="Q2062" s="573"/>
      <c r="R2062" s="573"/>
      <c r="S2062" s="573"/>
      <c r="T2062" s="573"/>
      <c r="U2062" s="573"/>
      <c r="V2062" s="573"/>
      <c r="W2062" s="573"/>
      <c r="X2062" s="573"/>
      <c r="Y2062" s="573"/>
      <c r="Z2062" s="573"/>
    </row>
    <row r="2063" spans="1:26" ht="18.75">
      <c r="A2063" s="677"/>
      <c r="B2063" s="677"/>
      <c r="C2063" s="677"/>
      <c r="D2063" s="896"/>
      <c r="E2063" s="677"/>
      <c r="F2063" s="677"/>
      <c r="G2063" s="677"/>
      <c r="H2063" s="897"/>
      <c r="I2063" s="898"/>
      <c r="J2063" s="898"/>
      <c r="K2063" s="899"/>
      <c r="L2063" s="899"/>
      <c r="M2063" s="899"/>
      <c r="N2063" s="899"/>
      <c r="O2063" s="899"/>
      <c r="P2063" s="899"/>
      <c r="Q2063" s="573"/>
      <c r="R2063" s="573"/>
      <c r="S2063" s="573"/>
      <c r="T2063" s="573"/>
      <c r="U2063" s="573"/>
      <c r="V2063" s="573"/>
      <c r="W2063" s="573"/>
      <c r="X2063" s="573"/>
      <c r="Y2063" s="573"/>
      <c r="Z2063" s="573"/>
    </row>
    <row r="2064" spans="1:26" ht="18.75">
      <c r="A2064" s="677"/>
      <c r="B2064" s="677"/>
      <c r="C2064" s="677"/>
      <c r="D2064" s="896"/>
      <c r="E2064" s="677"/>
      <c r="F2064" s="677"/>
      <c r="G2064" s="677"/>
      <c r="H2064" s="897"/>
      <c r="I2064" s="898"/>
      <c r="J2064" s="898"/>
      <c r="K2064" s="899"/>
      <c r="L2064" s="899"/>
      <c r="M2064" s="899"/>
      <c r="N2064" s="899"/>
      <c r="O2064" s="899"/>
      <c r="P2064" s="899"/>
      <c r="Q2064" s="573"/>
      <c r="R2064" s="573"/>
      <c r="S2064" s="573"/>
      <c r="T2064" s="573"/>
      <c r="U2064" s="573"/>
      <c r="V2064" s="573"/>
      <c r="W2064" s="573"/>
      <c r="X2064" s="573"/>
      <c r="Y2064" s="573"/>
      <c r="Z2064" s="573"/>
    </row>
    <row r="2065" spans="1:26" ht="18.75">
      <c r="A2065" s="677"/>
      <c r="B2065" s="677"/>
      <c r="C2065" s="677"/>
      <c r="D2065" s="896"/>
      <c r="E2065" s="677"/>
      <c r="F2065" s="677"/>
      <c r="G2065" s="677"/>
      <c r="H2065" s="897"/>
      <c r="I2065" s="898"/>
      <c r="J2065" s="898"/>
      <c r="K2065" s="899"/>
      <c r="L2065" s="899"/>
      <c r="M2065" s="899"/>
      <c r="N2065" s="899"/>
      <c r="O2065" s="899"/>
      <c r="P2065" s="899"/>
      <c r="Q2065" s="573"/>
      <c r="R2065" s="573"/>
      <c r="S2065" s="573"/>
      <c r="T2065" s="573"/>
      <c r="U2065" s="573"/>
      <c r="V2065" s="573"/>
      <c r="W2065" s="573"/>
      <c r="X2065" s="573"/>
      <c r="Y2065" s="573"/>
      <c r="Z2065" s="573"/>
    </row>
    <row r="2066" spans="1:26" ht="18.75">
      <c r="A2066" s="677"/>
      <c r="B2066" s="677"/>
      <c r="C2066" s="677"/>
      <c r="D2066" s="896"/>
      <c r="E2066" s="677"/>
      <c r="F2066" s="677"/>
      <c r="G2066" s="677"/>
      <c r="H2066" s="897"/>
      <c r="I2066" s="898"/>
      <c r="J2066" s="898"/>
      <c r="K2066" s="899"/>
      <c r="L2066" s="899"/>
      <c r="M2066" s="899"/>
      <c r="N2066" s="899"/>
      <c r="O2066" s="899"/>
      <c r="P2066" s="899"/>
      <c r="Q2066" s="573"/>
      <c r="R2066" s="573"/>
      <c r="S2066" s="573"/>
      <c r="T2066" s="573"/>
      <c r="U2066" s="573"/>
      <c r="V2066" s="573"/>
      <c r="W2066" s="573"/>
      <c r="X2066" s="573"/>
      <c r="Y2066" s="573"/>
      <c r="Z2066" s="573"/>
    </row>
    <row r="2067" spans="1:26" ht="18.75">
      <c r="A2067" s="677"/>
      <c r="B2067" s="677"/>
      <c r="C2067" s="677"/>
      <c r="D2067" s="896"/>
      <c r="E2067" s="677"/>
      <c r="F2067" s="677"/>
      <c r="G2067" s="677"/>
      <c r="H2067" s="897"/>
      <c r="I2067" s="898"/>
      <c r="J2067" s="898"/>
      <c r="K2067" s="899"/>
      <c r="L2067" s="899"/>
      <c r="M2067" s="899"/>
      <c r="N2067" s="899"/>
      <c r="O2067" s="899"/>
      <c r="P2067" s="899"/>
      <c r="Q2067" s="573"/>
      <c r="R2067" s="573"/>
      <c r="S2067" s="573"/>
      <c r="T2067" s="573"/>
      <c r="U2067" s="573"/>
      <c r="V2067" s="573"/>
      <c r="W2067" s="573"/>
      <c r="X2067" s="573"/>
      <c r="Y2067" s="573"/>
      <c r="Z2067" s="573"/>
    </row>
    <row r="2068" spans="1:26" ht="18.75">
      <c r="A2068" s="677"/>
      <c r="B2068" s="677"/>
      <c r="C2068" s="677"/>
      <c r="D2068" s="896"/>
      <c r="E2068" s="677"/>
      <c r="F2068" s="677"/>
      <c r="G2068" s="677"/>
      <c r="H2068" s="897"/>
      <c r="I2068" s="898"/>
      <c r="J2068" s="898"/>
      <c r="K2068" s="899"/>
      <c r="L2068" s="899"/>
      <c r="M2068" s="899"/>
      <c r="N2068" s="899"/>
      <c r="O2068" s="899"/>
      <c r="P2068" s="899"/>
      <c r="Q2068" s="573"/>
      <c r="R2068" s="573"/>
      <c r="S2068" s="573"/>
      <c r="T2068" s="573"/>
      <c r="U2068" s="573"/>
      <c r="V2068" s="573"/>
      <c r="W2068" s="573"/>
      <c r="X2068" s="573"/>
      <c r="Y2068" s="573"/>
      <c r="Z2068" s="573"/>
    </row>
    <row r="2069" spans="1:26" ht="18.75">
      <c r="A2069" s="677"/>
      <c r="B2069" s="677"/>
      <c r="C2069" s="677"/>
      <c r="D2069" s="896"/>
      <c r="E2069" s="677"/>
      <c r="F2069" s="677"/>
      <c r="G2069" s="677"/>
      <c r="H2069" s="897"/>
      <c r="I2069" s="898"/>
      <c r="J2069" s="898"/>
      <c r="K2069" s="899"/>
      <c r="L2069" s="899"/>
      <c r="M2069" s="899"/>
      <c r="N2069" s="899"/>
      <c r="O2069" s="899"/>
      <c r="P2069" s="899"/>
      <c r="Q2069" s="573"/>
      <c r="R2069" s="573"/>
      <c r="S2069" s="573"/>
      <c r="T2069" s="573"/>
      <c r="U2069" s="573"/>
      <c r="V2069" s="573"/>
      <c r="W2069" s="573"/>
      <c r="X2069" s="573"/>
      <c r="Y2069" s="573"/>
      <c r="Z2069" s="573"/>
    </row>
    <row r="2070" spans="1:26" ht="18.75">
      <c r="A2070" s="677"/>
      <c r="B2070" s="677"/>
      <c r="C2070" s="677"/>
      <c r="D2070" s="896"/>
      <c r="E2070" s="677"/>
      <c r="F2070" s="677"/>
      <c r="G2070" s="677"/>
      <c r="H2070" s="897"/>
      <c r="I2070" s="898"/>
      <c r="J2070" s="898"/>
      <c r="K2070" s="899"/>
      <c r="L2070" s="899"/>
      <c r="M2070" s="899"/>
      <c r="N2070" s="899"/>
      <c r="O2070" s="899"/>
      <c r="P2070" s="899"/>
      <c r="Q2070" s="573"/>
      <c r="R2070" s="573"/>
      <c r="S2070" s="573"/>
      <c r="T2070" s="573"/>
      <c r="U2070" s="573"/>
      <c r="V2070" s="573"/>
      <c r="W2070" s="573"/>
      <c r="X2070" s="573"/>
      <c r="Y2070" s="573"/>
      <c r="Z2070" s="573"/>
    </row>
    <row r="2071" spans="1:26" ht="18.75">
      <c r="A2071" s="677"/>
      <c r="B2071" s="677"/>
      <c r="C2071" s="677"/>
      <c r="D2071" s="896"/>
      <c r="E2071" s="677"/>
      <c r="F2071" s="677"/>
      <c r="G2071" s="677"/>
      <c r="H2071" s="897"/>
      <c r="I2071" s="898"/>
      <c r="J2071" s="898"/>
      <c r="K2071" s="899"/>
      <c r="L2071" s="899"/>
      <c r="M2071" s="899"/>
      <c r="N2071" s="899"/>
      <c r="O2071" s="899"/>
      <c r="P2071" s="899"/>
      <c r="Q2071" s="573"/>
      <c r="R2071" s="573"/>
      <c r="S2071" s="573"/>
      <c r="T2071" s="573"/>
      <c r="U2071" s="573"/>
      <c r="V2071" s="573"/>
      <c r="W2071" s="573"/>
      <c r="X2071" s="573"/>
      <c r="Y2071" s="573"/>
      <c r="Z2071" s="573"/>
    </row>
    <row r="2072" spans="1:26" ht="18.75">
      <c r="A2072" s="677"/>
      <c r="B2072" s="677"/>
      <c r="C2072" s="677"/>
      <c r="D2072" s="896"/>
      <c r="E2072" s="677"/>
      <c r="F2072" s="677"/>
      <c r="G2072" s="677"/>
      <c r="H2072" s="897"/>
      <c r="I2072" s="898"/>
      <c r="J2072" s="898"/>
      <c r="K2072" s="899"/>
      <c r="L2072" s="899"/>
      <c r="M2072" s="899"/>
      <c r="N2072" s="899"/>
      <c r="O2072" s="899"/>
      <c r="P2072" s="899"/>
      <c r="Q2072" s="573"/>
      <c r="R2072" s="573"/>
      <c r="S2072" s="573"/>
      <c r="T2072" s="573"/>
      <c r="U2072" s="573"/>
      <c r="V2072" s="573"/>
      <c r="W2072" s="573"/>
      <c r="X2072" s="573"/>
      <c r="Y2072" s="573"/>
      <c r="Z2072" s="573"/>
    </row>
    <row r="2073" spans="1:26" ht="18.75">
      <c r="A2073" s="677"/>
      <c r="B2073" s="677"/>
      <c r="C2073" s="677"/>
      <c r="D2073" s="896"/>
      <c r="E2073" s="677"/>
      <c r="F2073" s="677"/>
      <c r="G2073" s="677"/>
      <c r="H2073" s="897"/>
      <c r="I2073" s="898"/>
      <c r="J2073" s="898"/>
      <c r="K2073" s="899"/>
      <c r="L2073" s="899"/>
      <c r="M2073" s="899"/>
      <c r="N2073" s="899"/>
      <c r="O2073" s="899"/>
      <c r="P2073" s="899"/>
      <c r="Q2073" s="573"/>
      <c r="R2073" s="573"/>
      <c r="S2073" s="573"/>
      <c r="T2073" s="573"/>
      <c r="U2073" s="573"/>
      <c r="V2073" s="573"/>
      <c r="W2073" s="573"/>
      <c r="X2073" s="573"/>
      <c r="Y2073" s="573"/>
      <c r="Z2073" s="573"/>
    </row>
    <row r="2074" spans="1:26" ht="18.75">
      <c r="A2074" s="677"/>
      <c r="B2074" s="677"/>
      <c r="C2074" s="677"/>
      <c r="D2074" s="896"/>
      <c r="E2074" s="677"/>
      <c r="F2074" s="677"/>
      <c r="G2074" s="677"/>
      <c r="H2074" s="897"/>
      <c r="I2074" s="898"/>
      <c r="J2074" s="898"/>
      <c r="K2074" s="899"/>
      <c r="L2074" s="899"/>
      <c r="M2074" s="899"/>
      <c r="N2074" s="899"/>
      <c r="O2074" s="899"/>
      <c r="P2074" s="899"/>
      <c r="Q2074" s="573"/>
      <c r="R2074" s="573"/>
      <c r="S2074" s="573"/>
      <c r="T2074" s="573"/>
      <c r="U2074" s="573"/>
      <c r="V2074" s="573"/>
      <c r="W2074" s="573"/>
      <c r="X2074" s="573"/>
      <c r="Y2074" s="573"/>
      <c r="Z2074" s="573"/>
    </row>
    <row r="2075" spans="1:26" ht="18.75">
      <c r="A2075" s="677"/>
      <c r="B2075" s="677"/>
      <c r="C2075" s="677"/>
      <c r="D2075" s="896"/>
      <c r="E2075" s="677"/>
      <c r="F2075" s="677"/>
      <c r="G2075" s="677"/>
      <c r="H2075" s="897"/>
      <c r="I2075" s="898"/>
      <c r="J2075" s="898"/>
      <c r="K2075" s="899"/>
      <c r="L2075" s="899"/>
      <c r="M2075" s="899"/>
      <c r="N2075" s="899"/>
      <c r="O2075" s="899"/>
      <c r="P2075" s="899"/>
      <c r="Q2075" s="573"/>
      <c r="R2075" s="573"/>
      <c r="S2075" s="573"/>
      <c r="T2075" s="573"/>
      <c r="U2075" s="573"/>
      <c r="V2075" s="573"/>
      <c r="W2075" s="573"/>
      <c r="X2075" s="573"/>
      <c r="Y2075" s="573"/>
      <c r="Z2075" s="573"/>
    </row>
    <row r="2076" spans="1:26" ht="18.75">
      <c r="A2076" s="677"/>
      <c r="B2076" s="677"/>
      <c r="C2076" s="677"/>
      <c r="D2076" s="896"/>
      <c r="E2076" s="677"/>
      <c r="F2076" s="677"/>
      <c r="G2076" s="677"/>
      <c r="H2076" s="897"/>
      <c r="I2076" s="898"/>
      <c r="J2076" s="898"/>
      <c r="K2076" s="899"/>
      <c r="L2076" s="899"/>
      <c r="M2076" s="899"/>
      <c r="N2076" s="899"/>
      <c r="O2076" s="899"/>
      <c r="P2076" s="899"/>
      <c r="Q2076" s="573"/>
      <c r="R2076" s="573"/>
      <c r="S2076" s="573"/>
      <c r="T2076" s="573"/>
      <c r="U2076" s="573"/>
      <c r="V2076" s="573"/>
      <c r="W2076" s="573"/>
      <c r="X2076" s="573"/>
      <c r="Y2076" s="573"/>
      <c r="Z2076" s="573"/>
    </row>
    <row r="2077" spans="1:26" ht="18.75">
      <c r="A2077" s="677"/>
      <c r="B2077" s="677"/>
      <c r="C2077" s="677"/>
      <c r="D2077" s="896"/>
      <c r="E2077" s="677"/>
      <c r="F2077" s="677"/>
      <c r="G2077" s="677"/>
      <c r="H2077" s="897"/>
      <c r="I2077" s="898"/>
      <c r="J2077" s="898"/>
      <c r="K2077" s="899"/>
      <c r="L2077" s="899"/>
      <c r="M2077" s="899"/>
      <c r="N2077" s="899"/>
      <c r="O2077" s="899"/>
      <c r="P2077" s="899"/>
      <c r="Q2077" s="573"/>
      <c r="R2077" s="573"/>
      <c r="S2077" s="573"/>
      <c r="T2077" s="573"/>
      <c r="U2077" s="573"/>
      <c r="V2077" s="573"/>
      <c r="W2077" s="573"/>
      <c r="X2077" s="573"/>
      <c r="Y2077" s="573"/>
      <c r="Z2077" s="573"/>
    </row>
    <row r="2078" spans="1:26" ht="18.75">
      <c r="A2078" s="677"/>
      <c r="B2078" s="677"/>
      <c r="C2078" s="677"/>
      <c r="D2078" s="896"/>
      <c r="E2078" s="677"/>
      <c r="F2078" s="677"/>
      <c r="G2078" s="677"/>
      <c r="H2078" s="897"/>
      <c r="I2078" s="898"/>
      <c r="J2078" s="898"/>
      <c r="K2078" s="899"/>
      <c r="L2078" s="899"/>
      <c r="M2078" s="899"/>
      <c r="N2078" s="899"/>
      <c r="O2078" s="899"/>
      <c r="P2078" s="899"/>
      <c r="Q2078" s="573"/>
      <c r="R2078" s="573"/>
      <c r="S2078" s="573"/>
      <c r="T2078" s="573"/>
      <c r="U2078" s="573"/>
      <c r="V2078" s="573"/>
      <c r="W2078" s="573"/>
      <c r="X2078" s="573"/>
      <c r="Y2078" s="573"/>
      <c r="Z2078" s="573"/>
    </row>
    <row r="2079" spans="1:26" ht="18.75">
      <c r="A2079" s="677"/>
      <c r="B2079" s="677"/>
      <c r="C2079" s="677"/>
      <c r="D2079" s="896"/>
      <c r="E2079" s="677"/>
      <c r="F2079" s="677"/>
      <c r="G2079" s="677"/>
      <c r="H2079" s="897"/>
      <c r="I2079" s="898"/>
      <c r="J2079" s="898"/>
      <c r="K2079" s="899"/>
      <c r="L2079" s="899"/>
      <c r="M2079" s="899"/>
      <c r="N2079" s="899"/>
      <c r="O2079" s="899"/>
      <c r="P2079" s="899"/>
      <c r="Q2079" s="573"/>
      <c r="R2079" s="573"/>
      <c r="S2079" s="573"/>
      <c r="T2079" s="573"/>
      <c r="U2079" s="573"/>
      <c r="V2079" s="573"/>
      <c r="W2079" s="573"/>
      <c r="X2079" s="573"/>
      <c r="Y2079" s="573"/>
      <c r="Z2079" s="573"/>
    </row>
    <row r="2080" spans="1:26" ht="18.75">
      <c r="A2080" s="677"/>
      <c r="B2080" s="677"/>
      <c r="C2080" s="677"/>
      <c r="D2080" s="896"/>
      <c r="E2080" s="677"/>
      <c r="F2080" s="677"/>
      <c r="G2080" s="677"/>
      <c r="H2080" s="897"/>
      <c r="I2080" s="898"/>
      <c r="J2080" s="898"/>
      <c r="K2080" s="899"/>
      <c r="L2080" s="899"/>
      <c r="M2080" s="899"/>
      <c r="N2080" s="899"/>
      <c r="O2080" s="899"/>
      <c r="P2080" s="899"/>
      <c r="Q2080" s="573"/>
      <c r="R2080" s="573"/>
      <c r="S2080" s="573"/>
      <c r="T2080" s="573"/>
      <c r="U2080" s="573"/>
      <c r="V2080" s="573"/>
      <c r="W2080" s="573"/>
      <c r="X2080" s="573"/>
      <c r="Y2080" s="573"/>
      <c r="Z2080" s="573"/>
    </row>
    <row r="2081" spans="1:26" ht="18.75">
      <c r="A2081" s="677"/>
      <c r="B2081" s="677"/>
      <c r="C2081" s="677"/>
      <c r="D2081" s="896"/>
      <c r="E2081" s="677"/>
      <c r="F2081" s="677"/>
      <c r="G2081" s="677"/>
      <c r="H2081" s="897"/>
      <c r="I2081" s="898"/>
      <c r="J2081" s="898"/>
      <c r="K2081" s="899"/>
      <c r="L2081" s="899"/>
      <c r="M2081" s="899"/>
      <c r="N2081" s="899"/>
      <c r="O2081" s="899"/>
      <c r="P2081" s="899"/>
      <c r="Q2081" s="573"/>
      <c r="R2081" s="573"/>
      <c r="S2081" s="573"/>
      <c r="T2081" s="573"/>
      <c r="U2081" s="573"/>
      <c r="V2081" s="573"/>
      <c r="W2081" s="573"/>
      <c r="X2081" s="573"/>
      <c r="Y2081" s="573"/>
      <c r="Z2081" s="573"/>
    </row>
    <row r="2082" spans="1:26" ht="18.75">
      <c r="A2082" s="677"/>
      <c r="B2082" s="677"/>
      <c r="C2082" s="677"/>
      <c r="D2082" s="896"/>
      <c r="E2082" s="677"/>
      <c r="F2082" s="677"/>
      <c r="G2082" s="677"/>
      <c r="H2082" s="897"/>
      <c r="I2082" s="898"/>
      <c r="J2082" s="898"/>
      <c r="K2082" s="899"/>
      <c r="L2082" s="899"/>
      <c r="M2082" s="899"/>
      <c r="N2082" s="899"/>
      <c r="O2082" s="899"/>
      <c r="P2082" s="899"/>
      <c r="Q2082" s="573"/>
      <c r="R2082" s="573"/>
      <c r="S2082" s="573"/>
      <c r="T2082" s="573"/>
      <c r="U2082" s="573"/>
      <c r="V2082" s="573"/>
      <c r="W2082" s="573"/>
      <c r="X2082" s="573"/>
      <c r="Y2082" s="573"/>
      <c r="Z2082" s="573"/>
    </row>
    <row r="2083" spans="1:26" ht="18.75">
      <c r="A2083" s="677"/>
      <c r="B2083" s="677"/>
      <c r="C2083" s="677"/>
      <c r="D2083" s="896"/>
      <c r="E2083" s="677"/>
      <c r="F2083" s="677"/>
      <c r="G2083" s="677"/>
      <c r="H2083" s="897"/>
      <c r="I2083" s="898"/>
      <c r="J2083" s="898"/>
      <c r="K2083" s="899"/>
      <c r="L2083" s="899"/>
      <c r="M2083" s="899"/>
      <c r="N2083" s="899"/>
      <c r="O2083" s="899"/>
      <c r="P2083" s="899"/>
      <c r="Q2083" s="573"/>
      <c r="R2083" s="573"/>
      <c r="S2083" s="573"/>
      <c r="T2083" s="573"/>
      <c r="U2083" s="573"/>
      <c r="V2083" s="573"/>
      <c r="W2083" s="573"/>
      <c r="X2083" s="573"/>
      <c r="Y2083" s="573"/>
      <c r="Z2083" s="573"/>
    </row>
    <row r="2084" spans="1:26" ht="18.75">
      <c r="A2084" s="677"/>
      <c r="B2084" s="677"/>
      <c r="C2084" s="677"/>
      <c r="D2084" s="896"/>
      <c r="E2084" s="677"/>
      <c r="F2084" s="677"/>
      <c r="G2084" s="677"/>
      <c r="H2084" s="897"/>
      <c r="I2084" s="898"/>
      <c r="J2084" s="898"/>
      <c r="K2084" s="899"/>
      <c r="L2084" s="899"/>
      <c r="M2084" s="899"/>
      <c r="N2084" s="899"/>
      <c r="O2084" s="899"/>
      <c r="P2084" s="899"/>
      <c r="Q2084" s="573"/>
      <c r="R2084" s="573"/>
      <c r="S2084" s="573"/>
      <c r="T2084" s="573"/>
      <c r="U2084" s="573"/>
      <c r="V2084" s="573"/>
      <c r="W2084" s="573"/>
      <c r="X2084" s="573"/>
      <c r="Y2084" s="573"/>
      <c r="Z2084" s="573"/>
    </row>
    <row r="2085" spans="1:26" ht="18.75">
      <c r="A2085" s="677"/>
      <c r="B2085" s="677"/>
      <c r="C2085" s="677"/>
      <c r="D2085" s="896"/>
      <c r="E2085" s="677"/>
      <c r="F2085" s="677"/>
      <c r="G2085" s="677"/>
      <c r="H2085" s="897"/>
      <c r="I2085" s="898"/>
      <c r="J2085" s="898"/>
      <c r="K2085" s="899"/>
      <c r="L2085" s="899"/>
      <c r="M2085" s="899"/>
      <c r="N2085" s="899"/>
      <c r="O2085" s="899"/>
      <c r="P2085" s="899"/>
      <c r="Q2085" s="573"/>
      <c r="R2085" s="573"/>
      <c r="S2085" s="573"/>
      <c r="T2085" s="573"/>
      <c r="U2085" s="573"/>
      <c r="V2085" s="573"/>
      <c r="W2085" s="573"/>
      <c r="X2085" s="573"/>
      <c r="Y2085" s="573"/>
      <c r="Z2085" s="573"/>
    </row>
    <row r="2086" spans="1:26" ht="18.75">
      <c r="A2086" s="677"/>
      <c r="B2086" s="677"/>
      <c r="C2086" s="677"/>
      <c r="D2086" s="896"/>
      <c r="E2086" s="677"/>
      <c r="F2086" s="677"/>
      <c r="G2086" s="677"/>
      <c r="H2086" s="897"/>
      <c r="I2086" s="898"/>
      <c r="J2086" s="898"/>
      <c r="K2086" s="899"/>
      <c r="L2086" s="899"/>
      <c r="M2086" s="899"/>
      <c r="N2086" s="899"/>
      <c r="O2086" s="899"/>
      <c r="P2086" s="899"/>
      <c r="Q2086" s="573"/>
      <c r="R2086" s="573"/>
      <c r="S2086" s="573"/>
      <c r="T2086" s="573"/>
      <c r="U2086" s="573"/>
      <c r="V2086" s="573"/>
      <c r="W2086" s="573"/>
      <c r="X2086" s="573"/>
      <c r="Y2086" s="573"/>
      <c r="Z2086" s="573"/>
    </row>
    <row r="2087" spans="1:26" ht="18.75">
      <c r="A2087" s="677"/>
      <c r="B2087" s="677"/>
      <c r="C2087" s="677"/>
      <c r="D2087" s="896"/>
      <c r="E2087" s="677"/>
      <c r="F2087" s="677"/>
      <c r="G2087" s="677"/>
      <c r="H2087" s="897"/>
      <c r="I2087" s="898"/>
      <c r="J2087" s="898"/>
      <c r="K2087" s="899"/>
      <c r="L2087" s="899"/>
      <c r="M2087" s="899"/>
      <c r="N2087" s="899"/>
      <c r="O2087" s="899"/>
      <c r="P2087" s="899"/>
      <c r="Q2087" s="573"/>
      <c r="R2087" s="573"/>
      <c r="S2087" s="573"/>
      <c r="T2087" s="573"/>
      <c r="U2087" s="573"/>
      <c r="V2087" s="573"/>
      <c r="W2087" s="573"/>
      <c r="X2087" s="573"/>
      <c r="Y2087" s="573"/>
      <c r="Z2087" s="573"/>
    </row>
    <row r="2088" spans="1:26" ht="18.75">
      <c r="A2088" s="677"/>
      <c r="B2088" s="677"/>
      <c r="C2088" s="677"/>
      <c r="D2088" s="896"/>
      <c r="E2088" s="677"/>
      <c r="F2088" s="677"/>
      <c r="G2088" s="677"/>
      <c r="H2088" s="897"/>
      <c r="I2088" s="898"/>
      <c r="J2088" s="898"/>
      <c r="K2088" s="899"/>
      <c r="L2088" s="899"/>
      <c r="M2088" s="899"/>
      <c r="N2088" s="899"/>
      <c r="O2088" s="899"/>
      <c r="P2088" s="899"/>
      <c r="Q2088" s="573"/>
      <c r="R2088" s="573"/>
      <c r="S2088" s="573"/>
      <c r="T2088" s="573"/>
      <c r="U2088" s="573"/>
      <c r="V2088" s="573"/>
      <c r="W2088" s="573"/>
      <c r="X2088" s="573"/>
      <c r="Y2088" s="573"/>
      <c r="Z2088" s="573"/>
    </row>
    <row r="2089" spans="1:26" ht="18.75">
      <c r="A2089" s="677"/>
      <c r="B2089" s="677"/>
      <c r="C2089" s="677"/>
      <c r="D2089" s="896"/>
      <c r="E2089" s="677"/>
      <c r="F2089" s="677"/>
      <c r="G2089" s="677"/>
      <c r="H2089" s="897"/>
      <c r="I2089" s="898"/>
      <c r="J2089" s="898"/>
      <c r="K2089" s="899"/>
      <c r="L2089" s="899"/>
      <c r="M2089" s="899"/>
      <c r="N2089" s="899"/>
      <c r="O2089" s="899"/>
      <c r="P2089" s="899"/>
      <c r="Q2089" s="573"/>
      <c r="R2089" s="573"/>
      <c r="S2089" s="573"/>
      <c r="T2089" s="573"/>
      <c r="U2089" s="573"/>
      <c r="V2089" s="573"/>
      <c r="W2089" s="573"/>
      <c r="X2089" s="573"/>
      <c r="Y2089" s="573"/>
      <c r="Z2089" s="573"/>
    </row>
    <row r="2090" spans="1:26" ht="18.75">
      <c r="A2090" s="677"/>
      <c r="B2090" s="677"/>
      <c r="C2090" s="677"/>
      <c r="D2090" s="896"/>
      <c r="E2090" s="677"/>
      <c r="F2090" s="677"/>
      <c r="G2090" s="677"/>
      <c r="H2090" s="897"/>
      <c r="I2090" s="898"/>
      <c r="J2090" s="898"/>
      <c r="K2090" s="899"/>
      <c r="L2090" s="899"/>
      <c r="M2090" s="899"/>
      <c r="N2090" s="899"/>
      <c r="O2090" s="899"/>
      <c r="P2090" s="899"/>
      <c r="Q2090" s="573"/>
      <c r="R2090" s="573"/>
      <c r="S2090" s="573"/>
      <c r="T2090" s="573"/>
      <c r="U2090" s="573"/>
      <c r="V2090" s="573"/>
      <c r="W2090" s="573"/>
      <c r="X2090" s="573"/>
      <c r="Y2090" s="573"/>
      <c r="Z2090" s="573"/>
    </row>
    <row r="2091" spans="1:26" ht="18.75">
      <c r="A2091" s="677"/>
      <c r="B2091" s="677"/>
      <c r="C2091" s="677"/>
      <c r="D2091" s="896"/>
      <c r="E2091" s="677"/>
      <c r="F2091" s="677"/>
      <c r="G2091" s="677"/>
      <c r="H2091" s="897"/>
      <c r="I2091" s="898"/>
      <c r="J2091" s="898"/>
      <c r="K2091" s="899"/>
      <c r="L2091" s="899"/>
      <c r="M2091" s="899"/>
      <c r="N2091" s="899"/>
      <c r="O2091" s="899"/>
      <c r="P2091" s="899"/>
      <c r="Q2091" s="573"/>
      <c r="R2091" s="573"/>
      <c r="S2091" s="573"/>
      <c r="T2091" s="573"/>
      <c r="U2091" s="573"/>
      <c r="V2091" s="573"/>
      <c r="W2091" s="573"/>
      <c r="X2091" s="573"/>
      <c r="Y2091" s="573"/>
      <c r="Z2091" s="573"/>
    </row>
    <row r="2092" spans="1:26" ht="18.75">
      <c r="A2092" s="677"/>
      <c r="B2092" s="677"/>
      <c r="C2092" s="677"/>
      <c r="D2092" s="896"/>
      <c r="E2092" s="677"/>
      <c r="F2092" s="677"/>
      <c r="G2092" s="677"/>
      <c r="H2092" s="897"/>
      <c r="I2092" s="898"/>
      <c r="J2092" s="898"/>
      <c r="K2092" s="899"/>
      <c r="L2092" s="899"/>
      <c r="M2092" s="899"/>
      <c r="N2092" s="899"/>
      <c r="O2092" s="899"/>
      <c r="P2092" s="899"/>
      <c r="Q2092" s="573"/>
      <c r="R2092" s="573"/>
      <c r="S2092" s="573"/>
      <c r="T2092" s="573"/>
      <c r="U2092" s="573"/>
      <c r="V2092" s="573"/>
      <c r="W2092" s="573"/>
      <c r="X2092" s="573"/>
      <c r="Y2092" s="573"/>
      <c r="Z2092" s="573"/>
    </row>
    <row r="2093" spans="1:26" ht="18.75">
      <c r="A2093" s="677"/>
      <c r="B2093" s="677"/>
      <c r="C2093" s="677"/>
      <c r="D2093" s="896"/>
      <c r="E2093" s="677"/>
      <c r="F2093" s="677"/>
      <c r="G2093" s="677"/>
      <c r="H2093" s="897"/>
      <c r="I2093" s="898"/>
      <c r="J2093" s="898"/>
      <c r="K2093" s="899"/>
      <c r="L2093" s="899"/>
      <c r="M2093" s="899"/>
      <c r="N2093" s="899"/>
      <c r="O2093" s="899"/>
      <c r="P2093" s="899"/>
      <c r="Q2093" s="573"/>
      <c r="R2093" s="573"/>
      <c r="S2093" s="573"/>
      <c r="T2093" s="573"/>
      <c r="U2093" s="573"/>
      <c r="V2093" s="573"/>
      <c r="W2093" s="573"/>
      <c r="X2093" s="573"/>
      <c r="Y2093" s="573"/>
      <c r="Z2093" s="573"/>
    </row>
    <row r="2094" spans="1:26" ht="18.75">
      <c r="A2094" s="677"/>
      <c r="B2094" s="677"/>
      <c r="C2094" s="677"/>
      <c r="D2094" s="896"/>
      <c r="E2094" s="677"/>
      <c r="F2094" s="677"/>
      <c r="G2094" s="677"/>
      <c r="H2094" s="897"/>
      <c r="I2094" s="898"/>
      <c r="J2094" s="898"/>
      <c r="K2094" s="899"/>
      <c r="L2094" s="899"/>
      <c r="M2094" s="899"/>
      <c r="N2094" s="899"/>
      <c r="O2094" s="899"/>
      <c r="P2094" s="899"/>
      <c r="Q2094" s="573"/>
      <c r="R2094" s="573"/>
      <c r="S2094" s="573"/>
      <c r="T2094" s="573"/>
      <c r="U2094" s="573"/>
      <c r="V2094" s="573"/>
      <c r="W2094" s="573"/>
      <c r="X2094" s="573"/>
      <c r="Y2094" s="573"/>
      <c r="Z2094" s="573"/>
    </row>
    <row r="2095" spans="1:26" ht="18.75">
      <c r="A2095" s="677"/>
      <c r="B2095" s="677"/>
      <c r="C2095" s="677"/>
      <c r="D2095" s="896"/>
      <c r="E2095" s="677"/>
      <c r="F2095" s="677"/>
      <c r="G2095" s="677"/>
      <c r="H2095" s="897"/>
      <c r="I2095" s="898"/>
      <c r="J2095" s="898"/>
      <c r="K2095" s="899"/>
      <c r="L2095" s="899"/>
      <c r="M2095" s="899"/>
      <c r="N2095" s="899"/>
      <c r="O2095" s="899"/>
      <c r="P2095" s="899"/>
      <c r="Q2095" s="573"/>
      <c r="R2095" s="573"/>
      <c r="S2095" s="573"/>
      <c r="T2095" s="573"/>
      <c r="U2095" s="573"/>
      <c r="V2095" s="573"/>
      <c r="W2095" s="573"/>
      <c r="X2095" s="573"/>
      <c r="Y2095" s="573"/>
      <c r="Z2095" s="573"/>
    </row>
    <row r="2096" spans="1:26" ht="18.75">
      <c r="A2096" s="677"/>
      <c r="B2096" s="677"/>
      <c r="C2096" s="677"/>
      <c r="D2096" s="896"/>
      <c r="E2096" s="677"/>
      <c r="F2096" s="677"/>
      <c r="G2096" s="677"/>
      <c r="H2096" s="897"/>
      <c r="I2096" s="898"/>
      <c r="J2096" s="898"/>
      <c r="K2096" s="899"/>
      <c r="L2096" s="899"/>
      <c r="M2096" s="899"/>
      <c r="N2096" s="899"/>
      <c r="O2096" s="899"/>
      <c r="P2096" s="899"/>
      <c r="Q2096" s="573"/>
      <c r="R2096" s="573"/>
      <c r="S2096" s="573"/>
      <c r="T2096" s="573"/>
      <c r="U2096" s="573"/>
      <c r="V2096" s="573"/>
      <c r="W2096" s="573"/>
      <c r="X2096" s="573"/>
      <c r="Y2096" s="573"/>
      <c r="Z2096" s="573"/>
    </row>
    <row r="2097" spans="1:26" ht="18.75">
      <c r="A2097" s="677"/>
      <c r="B2097" s="677"/>
      <c r="C2097" s="677"/>
      <c r="D2097" s="896"/>
      <c r="E2097" s="677"/>
      <c r="F2097" s="677"/>
      <c r="G2097" s="677"/>
      <c r="H2097" s="897"/>
      <c r="I2097" s="898"/>
      <c r="J2097" s="898"/>
      <c r="K2097" s="899"/>
      <c r="L2097" s="899"/>
      <c r="M2097" s="899"/>
      <c r="N2097" s="899"/>
      <c r="O2097" s="899"/>
      <c r="P2097" s="899"/>
      <c r="Q2097" s="573"/>
      <c r="R2097" s="573"/>
      <c r="S2097" s="573"/>
      <c r="T2097" s="573"/>
      <c r="U2097" s="573"/>
      <c r="V2097" s="573"/>
      <c r="W2097" s="573"/>
      <c r="X2097" s="573"/>
      <c r="Y2097" s="573"/>
      <c r="Z2097" s="573"/>
    </row>
    <row r="2098" spans="1:26" ht="18.75">
      <c r="A2098" s="677"/>
      <c r="B2098" s="677"/>
      <c r="C2098" s="677"/>
      <c r="D2098" s="896"/>
      <c r="E2098" s="677"/>
      <c r="F2098" s="677"/>
      <c r="G2098" s="677"/>
      <c r="H2098" s="897"/>
      <c r="I2098" s="898"/>
      <c r="J2098" s="898"/>
      <c r="K2098" s="899"/>
      <c r="L2098" s="899"/>
      <c r="M2098" s="899"/>
      <c r="N2098" s="899"/>
      <c r="O2098" s="899"/>
      <c r="P2098" s="899"/>
      <c r="Q2098" s="573"/>
      <c r="R2098" s="573"/>
      <c r="S2098" s="573"/>
      <c r="T2098" s="573"/>
      <c r="U2098" s="573"/>
      <c r="V2098" s="573"/>
      <c r="W2098" s="573"/>
      <c r="X2098" s="573"/>
      <c r="Y2098" s="573"/>
      <c r="Z2098" s="573"/>
    </row>
    <row r="2099" spans="1:26" ht="18.75">
      <c r="A2099" s="677"/>
      <c r="B2099" s="677"/>
      <c r="C2099" s="677"/>
      <c r="D2099" s="896"/>
      <c r="E2099" s="677"/>
      <c r="F2099" s="677"/>
      <c r="G2099" s="677"/>
      <c r="H2099" s="897"/>
      <c r="I2099" s="898"/>
      <c r="J2099" s="898"/>
      <c r="K2099" s="899"/>
      <c r="L2099" s="899"/>
      <c r="M2099" s="899"/>
      <c r="N2099" s="899"/>
      <c r="O2099" s="899"/>
      <c r="P2099" s="899"/>
      <c r="Q2099" s="573"/>
      <c r="R2099" s="573"/>
      <c r="S2099" s="573"/>
      <c r="T2099" s="573"/>
      <c r="U2099" s="573"/>
      <c r="V2099" s="573"/>
      <c r="W2099" s="573"/>
      <c r="X2099" s="573"/>
      <c r="Y2099" s="573"/>
      <c r="Z2099" s="573"/>
    </row>
    <row r="2100" spans="1:26" ht="18.75">
      <c r="A2100" s="677"/>
      <c r="B2100" s="677"/>
      <c r="C2100" s="677"/>
      <c r="D2100" s="896"/>
      <c r="E2100" s="677"/>
      <c r="F2100" s="677"/>
      <c r="G2100" s="677"/>
      <c r="H2100" s="897"/>
      <c r="I2100" s="898"/>
      <c r="J2100" s="898"/>
      <c r="K2100" s="899"/>
      <c r="L2100" s="899"/>
      <c r="M2100" s="899"/>
      <c r="N2100" s="899"/>
      <c r="O2100" s="899"/>
      <c r="P2100" s="899"/>
      <c r="Q2100" s="573"/>
      <c r="R2100" s="573"/>
      <c r="S2100" s="573"/>
      <c r="T2100" s="573"/>
      <c r="U2100" s="573"/>
      <c r="V2100" s="573"/>
      <c r="W2100" s="573"/>
      <c r="X2100" s="573"/>
      <c r="Y2100" s="573"/>
      <c r="Z2100" s="573"/>
    </row>
    <row r="2101" spans="1:26" ht="18.75">
      <c r="A2101" s="677"/>
      <c r="B2101" s="677"/>
      <c r="C2101" s="677"/>
      <c r="D2101" s="896"/>
      <c r="E2101" s="677"/>
      <c r="F2101" s="677"/>
      <c r="G2101" s="677"/>
      <c r="H2101" s="897"/>
      <c r="I2101" s="898"/>
      <c r="J2101" s="898"/>
      <c r="K2101" s="899"/>
      <c r="L2101" s="899"/>
      <c r="M2101" s="899"/>
      <c r="N2101" s="899"/>
      <c r="O2101" s="899"/>
      <c r="P2101" s="899"/>
      <c r="Q2101" s="573"/>
      <c r="R2101" s="573"/>
      <c r="S2101" s="573"/>
      <c r="T2101" s="573"/>
      <c r="U2101" s="573"/>
      <c r="V2101" s="573"/>
      <c r="W2101" s="573"/>
      <c r="X2101" s="573"/>
      <c r="Y2101" s="573"/>
      <c r="Z2101" s="573"/>
    </row>
    <row r="2102" spans="1:26" ht="18.75">
      <c r="A2102" s="677"/>
      <c r="B2102" s="677"/>
      <c r="C2102" s="677"/>
      <c r="D2102" s="896"/>
      <c r="E2102" s="677"/>
      <c r="F2102" s="677"/>
      <c r="G2102" s="677"/>
      <c r="H2102" s="897"/>
      <c r="I2102" s="898"/>
      <c r="J2102" s="898"/>
      <c r="K2102" s="899"/>
      <c r="L2102" s="899"/>
      <c r="M2102" s="899"/>
      <c r="N2102" s="899"/>
      <c r="O2102" s="899"/>
      <c r="P2102" s="899"/>
      <c r="Q2102" s="573"/>
      <c r="R2102" s="573"/>
      <c r="S2102" s="573"/>
      <c r="T2102" s="573"/>
      <c r="U2102" s="573"/>
      <c r="V2102" s="573"/>
      <c r="W2102" s="573"/>
      <c r="X2102" s="573"/>
      <c r="Y2102" s="573"/>
      <c r="Z2102" s="573"/>
    </row>
    <row r="2103" spans="1:26" ht="18.75">
      <c r="A2103" s="677"/>
      <c r="B2103" s="677"/>
      <c r="C2103" s="677"/>
      <c r="D2103" s="896"/>
      <c r="E2103" s="677"/>
      <c r="F2103" s="677"/>
      <c r="G2103" s="677"/>
      <c r="H2103" s="897"/>
      <c r="I2103" s="898"/>
      <c r="J2103" s="898"/>
      <c r="K2103" s="899"/>
      <c r="L2103" s="899"/>
      <c r="M2103" s="899"/>
      <c r="N2103" s="899"/>
      <c r="O2103" s="899"/>
      <c r="P2103" s="899"/>
      <c r="Q2103" s="573"/>
      <c r="R2103" s="573"/>
      <c r="S2103" s="573"/>
      <c r="T2103" s="573"/>
      <c r="U2103" s="573"/>
      <c r="V2103" s="573"/>
      <c r="W2103" s="573"/>
      <c r="X2103" s="573"/>
      <c r="Y2103" s="573"/>
      <c r="Z2103" s="573"/>
    </row>
    <row r="2104" spans="1:26" ht="18.75">
      <c r="A2104" s="677"/>
      <c r="B2104" s="677"/>
      <c r="C2104" s="677"/>
      <c r="D2104" s="896"/>
      <c r="E2104" s="677"/>
      <c r="F2104" s="677"/>
      <c r="G2104" s="677"/>
      <c r="H2104" s="897"/>
      <c r="I2104" s="898"/>
      <c r="J2104" s="898"/>
      <c r="K2104" s="899"/>
      <c r="L2104" s="899"/>
      <c r="M2104" s="899"/>
      <c r="N2104" s="899"/>
      <c r="O2104" s="899"/>
      <c r="P2104" s="899"/>
      <c r="Q2104" s="573"/>
      <c r="R2104" s="573"/>
      <c r="S2104" s="573"/>
      <c r="T2104" s="573"/>
      <c r="U2104" s="573"/>
      <c r="V2104" s="573"/>
      <c r="W2104" s="573"/>
      <c r="X2104" s="573"/>
      <c r="Y2104" s="573"/>
      <c r="Z2104" s="573"/>
    </row>
    <row r="2105" spans="1:26" ht="18.75">
      <c r="A2105" s="677"/>
      <c r="B2105" s="677"/>
      <c r="C2105" s="677"/>
      <c r="D2105" s="896"/>
      <c r="E2105" s="677"/>
      <c r="F2105" s="677"/>
      <c r="G2105" s="677"/>
      <c r="H2105" s="897"/>
      <c r="I2105" s="898"/>
      <c r="J2105" s="898"/>
      <c r="K2105" s="899"/>
      <c r="L2105" s="899"/>
      <c r="M2105" s="899"/>
      <c r="N2105" s="899"/>
      <c r="O2105" s="899"/>
      <c r="P2105" s="899"/>
      <c r="Q2105" s="573"/>
      <c r="R2105" s="573"/>
      <c r="S2105" s="573"/>
      <c r="T2105" s="573"/>
      <c r="U2105" s="573"/>
      <c r="V2105" s="573"/>
      <c r="W2105" s="573"/>
      <c r="X2105" s="573"/>
      <c r="Y2105" s="573"/>
      <c r="Z2105" s="573"/>
    </row>
    <row r="2106" spans="1:26" ht="18.75">
      <c r="A2106" s="677"/>
      <c r="B2106" s="677"/>
      <c r="C2106" s="677"/>
      <c r="D2106" s="896"/>
      <c r="E2106" s="677"/>
      <c r="F2106" s="677"/>
      <c r="G2106" s="677"/>
      <c r="H2106" s="897"/>
      <c r="I2106" s="898"/>
      <c r="J2106" s="898"/>
      <c r="K2106" s="899"/>
      <c r="L2106" s="899"/>
      <c r="M2106" s="899"/>
      <c r="N2106" s="899"/>
      <c r="O2106" s="899"/>
      <c r="P2106" s="899"/>
      <c r="Q2106" s="573"/>
      <c r="R2106" s="573"/>
      <c r="S2106" s="573"/>
      <c r="T2106" s="573"/>
      <c r="U2106" s="573"/>
      <c r="V2106" s="573"/>
      <c r="W2106" s="573"/>
      <c r="X2106" s="573"/>
      <c r="Y2106" s="573"/>
      <c r="Z2106" s="573"/>
    </row>
    <row r="2107" spans="1:26" ht="18.75">
      <c r="A2107" s="677"/>
      <c r="B2107" s="677"/>
      <c r="C2107" s="677"/>
      <c r="D2107" s="896"/>
      <c r="E2107" s="677"/>
      <c r="F2107" s="677"/>
      <c r="G2107" s="677"/>
      <c r="H2107" s="897"/>
      <c r="I2107" s="898"/>
      <c r="J2107" s="898"/>
      <c r="K2107" s="899"/>
      <c r="L2107" s="899"/>
      <c r="M2107" s="899"/>
      <c r="N2107" s="899"/>
      <c r="O2107" s="899"/>
      <c r="P2107" s="899"/>
      <c r="Q2107" s="573"/>
      <c r="R2107" s="573"/>
      <c r="S2107" s="573"/>
      <c r="T2107" s="573"/>
      <c r="U2107" s="573"/>
      <c r="V2107" s="573"/>
      <c r="W2107" s="573"/>
      <c r="X2107" s="573"/>
      <c r="Y2107" s="573"/>
      <c r="Z2107" s="573"/>
    </row>
    <row r="2108" spans="1:26" ht="18.75">
      <c r="A2108" s="677"/>
      <c r="B2108" s="677"/>
      <c r="C2108" s="677"/>
      <c r="D2108" s="896"/>
      <c r="E2108" s="677"/>
      <c r="F2108" s="677"/>
      <c r="G2108" s="677"/>
      <c r="H2108" s="897"/>
      <c r="I2108" s="898"/>
      <c r="J2108" s="898"/>
      <c r="K2108" s="899"/>
      <c r="L2108" s="899"/>
      <c r="M2108" s="899"/>
      <c r="N2108" s="899"/>
      <c r="O2108" s="899"/>
      <c r="P2108" s="899"/>
      <c r="Q2108" s="573"/>
      <c r="R2108" s="573"/>
      <c r="S2108" s="573"/>
      <c r="T2108" s="573"/>
      <c r="U2108" s="573"/>
      <c r="V2108" s="573"/>
      <c r="W2108" s="573"/>
      <c r="X2108" s="573"/>
      <c r="Y2108" s="573"/>
      <c r="Z2108" s="573"/>
    </row>
    <row r="2109" spans="1:26" ht="18.75">
      <c r="A2109" s="677"/>
      <c r="B2109" s="677"/>
      <c r="C2109" s="677"/>
      <c r="D2109" s="896"/>
      <c r="E2109" s="677"/>
      <c r="F2109" s="677"/>
      <c r="G2109" s="677"/>
      <c r="H2109" s="897"/>
      <c r="I2109" s="898"/>
      <c r="J2109" s="898"/>
      <c r="K2109" s="899"/>
      <c r="L2109" s="899"/>
      <c r="M2109" s="899"/>
      <c r="N2109" s="899"/>
      <c r="O2109" s="899"/>
      <c r="P2109" s="899"/>
      <c r="Q2109" s="573"/>
      <c r="R2109" s="573"/>
      <c r="S2109" s="573"/>
      <c r="T2109" s="573"/>
      <c r="U2109" s="573"/>
      <c r="V2109" s="573"/>
      <c r="W2109" s="573"/>
      <c r="X2109" s="573"/>
      <c r="Y2109" s="573"/>
      <c r="Z2109" s="573"/>
    </row>
    <row r="2110" spans="1:26" ht="18.75">
      <c r="A2110" s="677"/>
      <c r="B2110" s="677"/>
      <c r="C2110" s="677"/>
      <c r="D2110" s="896"/>
      <c r="E2110" s="677"/>
      <c r="F2110" s="677"/>
      <c r="G2110" s="677"/>
      <c r="H2110" s="897"/>
      <c r="I2110" s="898"/>
      <c r="J2110" s="898"/>
      <c r="K2110" s="899"/>
      <c r="L2110" s="899"/>
      <c r="M2110" s="899"/>
      <c r="N2110" s="899"/>
      <c r="O2110" s="899"/>
      <c r="P2110" s="899"/>
      <c r="Q2110" s="573"/>
      <c r="R2110" s="573"/>
      <c r="S2110" s="573"/>
      <c r="T2110" s="573"/>
      <c r="U2110" s="573"/>
      <c r="V2110" s="573"/>
      <c r="W2110" s="573"/>
      <c r="X2110" s="573"/>
      <c r="Y2110" s="573"/>
      <c r="Z2110" s="573"/>
    </row>
    <row r="2111" spans="1:26" ht="18.75">
      <c r="A2111" s="677"/>
      <c r="B2111" s="677"/>
      <c r="C2111" s="677"/>
      <c r="D2111" s="896"/>
      <c r="E2111" s="677"/>
      <c r="F2111" s="677"/>
      <c r="G2111" s="677"/>
      <c r="H2111" s="897"/>
      <c r="I2111" s="898"/>
      <c r="J2111" s="898"/>
      <c r="K2111" s="899"/>
      <c r="L2111" s="899"/>
      <c r="M2111" s="899"/>
      <c r="N2111" s="899"/>
      <c r="O2111" s="899"/>
      <c r="P2111" s="899"/>
      <c r="Q2111" s="573"/>
      <c r="R2111" s="573"/>
      <c r="S2111" s="573"/>
      <c r="T2111" s="573"/>
      <c r="U2111" s="573"/>
      <c r="V2111" s="573"/>
      <c r="W2111" s="573"/>
      <c r="X2111" s="573"/>
      <c r="Y2111" s="573"/>
      <c r="Z2111" s="573"/>
    </row>
    <row r="2112" spans="1:26" ht="18.75">
      <c r="A2112" s="677"/>
      <c r="B2112" s="677"/>
      <c r="C2112" s="677"/>
      <c r="D2112" s="896"/>
      <c r="E2112" s="677"/>
      <c r="F2112" s="677"/>
      <c r="G2112" s="677"/>
      <c r="H2112" s="897"/>
      <c r="I2112" s="898"/>
      <c r="J2112" s="898"/>
      <c r="K2112" s="899"/>
      <c r="L2112" s="899"/>
      <c r="M2112" s="899"/>
      <c r="N2112" s="899"/>
      <c r="O2112" s="899"/>
      <c r="P2112" s="899"/>
      <c r="Q2112" s="573"/>
      <c r="R2112" s="573"/>
      <c r="S2112" s="573"/>
      <c r="T2112" s="573"/>
      <c r="U2112" s="573"/>
      <c r="V2112" s="573"/>
      <c r="W2112" s="573"/>
      <c r="X2112" s="573"/>
      <c r="Y2112" s="573"/>
      <c r="Z2112" s="573"/>
    </row>
    <row r="2113" spans="1:26" ht="18.75">
      <c r="A2113" s="677"/>
      <c r="B2113" s="677"/>
      <c r="C2113" s="677"/>
      <c r="D2113" s="896"/>
      <c r="E2113" s="677"/>
      <c r="F2113" s="677"/>
      <c r="G2113" s="677"/>
      <c r="H2113" s="897"/>
      <c r="I2113" s="898"/>
      <c r="J2113" s="898"/>
      <c r="K2113" s="899"/>
      <c r="L2113" s="899"/>
      <c r="M2113" s="899"/>
      <c r="N2113" s="899"/>
      <c r="O2113" s="899"/>
      <c r="P2113" s="899"/>
      <c r="Q2113" s="573"/>
      <c r="R2113" s="573"/>
      <c r="S2113" s="573"/>
      <c r="T2113" s="573"/>
      <c r="U2113" s="573"/>
      <c r="V2113" s="573"/>
      <c r="W2113" s="573"/>
      <c r="X2113" s="573"/>
      <c r="Y2113" s="573"/>
      <c r="Z2113" s="573"/>
    </row>
    <row r="2114" spans="1:26" ht="18.75">
      <c r="A2114" s="677"/>
      <c r="B2114" s="677"/>
      <c r="C2114" s="677"/>
      <c r="D2114" s="896"/>
      <c r="E2114" s="677"/>
      <c r="F2114" s="677"/>
      <c r="G2114" s="677"/>
      <c r="H2114" s="897"/>
      <c r="I2114" s="898"/>
      <c r="J2114" s="898"/>
      <c r="K2114" s="899"/>
      <c r="L2114" s="899"/>
      <c r="M2114" s="899"/>
      <c r="N2114" s="899"/>
      <c r="O2114" s="899"/>
      <c r="P2114" s="899"/>
      <c r="Q2114" s="573"/>
      <c r="R2114" s="573"/>
      <c r="S2114" s="573"/>
      <c r="T2114" s="573"/>
      <c r="U2114" s="573"/>
      <c r="V2114" s="573"/>
      <c r="W2114" s="573"/>
      <c r="X2114" s="573"/>
      <c r="Y2114" s="573"/>
      <c r="Z2114" s="573"/>
    </row>
    <row r="2115" spans="1:26" ht="18.75">
      <c r="A2115" s="677"/>
      <c r="B2115" s="677"/>
      <c r="C2115" s="677"/>
      <c r="D2115" s="896"/>
      <c r="E2115" s="677"/>
      <c r="F2115" s="677"/>
      <c r="G2115" s="677"/>
      <c r="H2115" s="897"/>
      <c r="I2115" s="898"/>
      <c r="J2115" s="898"/>
      <c r="K2115" s="899"/>
      <c r="L2115" s="899"/>
      <c r="M2115" s="899"/>
      <c r="N2115" s="899"/>
      <c r="O2115" s="899"/>
      <c r="P2115" s="899"/>
      <c r="Q2115" s="573"/>
      <c r="R2115" s="573"/>
      <c r="S2115" s="573"/>
      <c r="T2115" s="573"/>
      <c r="U2115" s="573"/>
      <c r="V2115" s="573"/>
      <c r="W2115" s="573"/>
      <c r="X2115" s="573"/>
      <c r="Y2115" s="573"/>
      <c r="Z2115" s="573"/>
    </row>
    <row r="2116" spans="1:26" ht="18.75">
      <c r="A2116" s="677"/>
      <c r="B2116" s="677"/>
      <c r="C2116" s="677"/>
      <c r="D2116" s="896"/>
      <c r="E2116" s="677"/>
      <c r="F2116" s="677"/>
      <c r="G2116" s="677"/>
      <c r="H2116" s="897"/>
      <c r="I2116" s="898"/>
      <c r="J2116" s="898"/>
      <c r="K2116" s="899"/>
      <c r="L2116" s="899"/>
      <c r="M2116" s="899"/>
      <c r="N2116" s="899"/>
      <c r="O2116" s="899"/>
      <c r="P2116" s="899"/>
      <c r="Q2116" s="573"/>
      <c r="R2116" s="573"/>
      <c r="S2116" s="573"/>
      <c r="T2116" s="573"/>
      <c r="U2116" s="573"/>
      <c r="V2116" s="573"/>
      <c r="W2116" s="573"/>
      <c r="X2116" s="573"/>
      <c r="Y2116" s="573"/>
      <c r="Z2116" s="573"/>
    </row>
    <row r="2117" spans="1:26" ht="18.75">
      <c r="A2117" s="677"/>
      <c r="B2117" s="677"/>
      <c r="C2117" s="677"/>
      <c r="D2117" s="896"/>
      <c r="E2117" s="677"/>
      <c r="F2117" s="677"/>
      <c r="G2117" s="677"/>
      <c r="H2117" s="897"/>
      <c r="I2117" s="898"/>
      <c r="J2117" s="898"/>
      <c r="K2117" s="899"/>
      <c r="L2117" s="899"/>
      <c r="M2117" s="899"/>
      <c r="N2117" s="899"/>
      <c r="O2117" s="899"/>
      <c r="P2117" s="899"/>
      <c r="Q2117" s="573"/>
      <c r="R2117" s="573"/>
      <c r="S2117" s="573"/>
      <c r="T2117" s="573"/>
      <c r="U2117" s="573"/>
      <c r="V2117" s="573"/>
      <c r="W2117" s="573"/>
      <c r="X2117" s="573"/>
      <c r="Y2117" s="573"/>
      <c r="Z2117" s="573"/>
    </row>
    <row r="2118" spans="1:26" ht="18.75">
      <c r="A2118" s="677"/>
      <c r="B2118" s="677"/>
      <c r="C2118" s="677"/>
      <c r="D2118" s="896"/>
      <c r="E2118" s="677"/>
      <c r="F2118" s="677"/>
      <c r="G2118" s="677"/>
      <c r="H2118" s="897"/>
      <c r="I2118" s="898"/>
      <c r="J2118" s="898"/>
      <c r="K2118" s="899"/>
      <c r="L2118" s="899"/>
      <c r="M2118" s="899"/>
      <c r="N2118" s="899"/>
      <c r="O2118" s="899"/>
      <c r="P2118" s="899"/>
      <c r="Q2118" s="573"/>
      <c r="R2118" s="573"/>
      <c r="S2118" s="573"/>
      <c r="T2118" s="573"/>
      <c r="U2118" s="573"/>
      <c r="V2118" s="573"/>
      <c r="W2118" s="573"/>
      <c r="X2118" s="573"/>
      <c r="Y2118" s="573"/>
      <c r="Z2118" s="573"/>
    </row>
    <row r="2119" spans="1:26" ht="18.75">
      <c r="A2119" s="677"/>
      <c r="B2119" s="677"/>
      <c r="C2119" s="677"/>
      <c r="D2119" s="896"/>
      <c r="E2119" s="677"/>
      <c r="F2119" s="677"/>
      <c r="G2119" s="677"/>
      <c r="H2119" s="897"/>
      <c r="I2119" s="898"/>
      <c r="J2119" s="898"/>
      <c r="K2119" s="899"/>
      <c r="L2119" s="899"/>
      <c r="M2119" s="899"/>
      <c r="N2119" s="899"/>
      <c r="O2119" s="899"/>
      <c r="P2119" s="899"/>
      <c r="Q2119" s="573"/>
      <c r="R2119" s="573"/>
      <c r="S2119" s="573"/>
      <c r="T2119" s="573"/>
      <c r="U2119" s="573"/>
      <c r="V2119" s="573"/>
      <c r="W2119" s="573"/>
      <c r="X2119" s="573"/>
      <c r="Y2119" s="573"/>
      <c r="Z2119" s="573"/>
    </row>
    <row r="2120" spans="1:26" ht="18.75">
      <c r="A2120" s="677"/>
      <c r="B2120" s="677"/>
      <c r="C2120" s="677"/>
      <c r="D2120" s="896"/>
      <c r="E2120" s="677"/>
      <c r="F2120" s="677"/>
      <c r="G2120" s="677"/>
      <c r="H2120" s="897"/>
      <c r="I2120" s="898"/>
      <c r="J2120" s="898"/>
      <c r="K2120" s="899"/>
      <c r="L2120" s="899"/>
      <c r="M2120" s="899"/>
      <c r="N2120" s="899"/>
      <c r="O2120" s="899"/>
      <c r="P2120" s="899"/>
      <c r="Q2120" s="573"/>
      <c r="R2120" s="573"/>
      <c r="S2120" s="573"/>
      <c r="T2120" s="573"/>
      <c r="U2120" s="573"/>
      <c r="V2120" s="573"/>
      <c r="W2120" s="573"/>
      <c r="X2120" s="573"/>
      <c r="Y2120" s="573"/>
      <c r="Z2120" s="573"/>
    </row>
    <row r="2121" spans="1:26" ht="18.75">
      <c r="A2121" s="677"/>
      <c r="B2121" s="677"/>
      <c r="C2121" s="677"/>
      <c r="D2121" s="896"/>
      <c r="E2121" s="677"/>
      <c r="F2121" s="677"/>
      <c r="G2121" s="677"/>
      <c r="H2121" s="897"/>
      <c r="I2121" s="898"/>
      <c r="J2121" s="898"/>
      <c r="K2121" s="899"/>
      <c r="L2121" s="899"/>
      <c r="M2121" s="899"/>
      <c r="N2121" s="899"/>
      <c r="O2121" s="899"/>
      <c r="P2121" s="899"/>
      <c r="Q2121" s="573"/>
      <c r="R2121" s="573"/>
      <c r="S2121" s="573"/>
      <c r="T2121" s="573"/>
      <c r="U2121" s="573"/>
      <c r="V2121" s="573"/>
      <c r="W2121" s="573"/>
      <c r="X2121" s="573"/>
      <c r="Y2121" s="573"/>
      <c r="Z2121" s="573"/>
    </row>
    <row r="2122" spans="1:26" ht="18.75">
      <c r="A2122" s="677"/>
      <c r="B2122" s="677"/>
      <c r="C2122" s="677"/>
      <c r="D2122" s="896"/>
      <c r="E2122" s="677"/>
      <c r="F2122" s="677"/>
      <c r="G2122" s="677"/>
      <c r="H2122" s="897"/>
      <c r="I2122" s="898"/>
      <c r="J2122" s="898"/>
      <c r="K2122" s="899"/>
      <c r="L2122" s="899"/>
      <c r="M2122" s="899"/>
      <c r="N2122" s="899"/>
      <c r="O2122" s="899"/>
      <c r="P2122" s="899"/>
      <c r="Q2122" s="573"/>
      <c r="R2122" s="573"/>
      <c r="S2122" s="573"/>
      <c r="T2122" s="573"/>
      <c r="U2122" s="573"/>
      <c r="V2122" s="573"/>
      <c r="W2122" s="573"/>
      <c r="X2122" s="573"/>
      <c r="Y2122" s="573"/>
      <c r="Z2122" s="573"/>
    </row>
    <row r="2123" spans="1:26" ht="18.75">
      <c r="A2123" s="677"/>
      <c r="B2123" s="677"/>
      <c r="C2123" s="677"/>
      <c r="D2123" s="896"/>
      <c r="E2123" s="677"/>
      <c r="F2123" s="677"/>
      <c r="G2123" s="677"/>
      <c r="H2123" s="897"/>
      <c r="I2123" s="898"/>
      <c r="J2123" s="898"/>
      <c r="K2123" s="899"/>
      <c r="L2123" s="899"/>
      <c r="M2123" s="899"/>
      <c r="N2123" s="899"/>
      <c r="O2123" s="899"/>
      <c r="P2123" s="899"/>
      <c r="Q2123" s="573"/>
      <c r="R2123" s="573"/>
      <c r="S2123" s="573"/>
      <c r="T2123" s="573"/>
      <c r="U2123" s="573"/>
      <c r="V2123" s="573"/>
      <c r="W2123" s="573"/>
      <c r="X2123" s="573"/>
      <c r="Y2123" s="573"/>
      <c r="Z2123" s="573"/>
    </row>
    <row r="2124" spans="1:26" ht="18.75">
      <c r="A2124" s="677"/>
      <c r="B2124" s="677"/>
      <c r="C2124" s="677"/>
      <c r="D2124" s="896"/>
      <c r="E2124" s="677"/>
      <c r="F2124" s="677"/>
      <c r="G2124" s="677"/>
      <c r="H2124" s="897"/>
      <c r="I2124" s="898"/>
      <c r="J2124" s="898"/>
      <c r="K2124" s="899"/>
      <c r="L2124" s="899"/>
      <c r="M2124" s="899"/>
      <c r="N2124" s="899"/>
      <c r="O2124" s="899"/>
      <c r="P2124" s="899"/>
      <c r="Q2124" s="573"/>
      <c r="R2124" s="573"/>
      <c r="S2124" s="573"/>
      <c r="T2124" s="573"/>
      <c r="U2124" s="573"/>
      <c r="V2124" s="573"/>
      <c r="W2124" s="573"/>
      <c r="X2124" s="573"/>
      <c r="Y2124" s="573"/>
      <c r="Z2124" s="573"/>
    </row>
    <row r="2125" spans="1:26" ht="18.75">
      <c r="A2125" s="677"/>
      <c r="B2125" s="677"/>
      <c r="C2125" s="677"/>
      <c r="D2125" s="896"/>
      <c r="E2125" s="677"/>
      <c r="F2125" s="677"/>
      <c r="G2125" s="677"/>
      <c r="H2125" s="897"/>
      <c r="I2125" s="898"/>
      <c r="J2125" s="898"/>
      <c r="K2125" s="899"/>
      <c r="L2125" s="899"/>
      <c r="M2125" s="899"/>
      <c r="N2125" s="899"/>
      <c r="O2125" s="899"/>
      <c r="P2125" s="899"/>
      <c r="Q2125" s="573"/>
      <c r="R2125" s="573"/>
      <c r="S2125" s="573"/>
      <c r="T2125" s="573"/>
      <c r="U2125" s="573"/>
      <c r="V2125" s="573"/>
      <c r="W2125" s="573"/>
      <c r="X2125" s="573"/>
      <c r="Y2125" s="573"/>
      <c r="Z2125" s="573"/>
    </row>
    <row r="2126" spans="1:26" ht="18.75">
      <c r="A2126" s="677"/>
      <c r="B2126" s="677"/>
      <c r="C2126" s="677"/>
      <c r="D2126" s="896"/>
      <c r="E2126" s="677"/>
      <c r="F2126" s="677"/>
      <c r="G2126" s="677"/>
      <c r="H2126" s="897"/>
      <c r="I2126" s="898"/>
      <c r="J2126" s="898"/>
      <c r="K2126" s="899"/>
      <c r="L2126" s="899"/>
      <c r="M2126" s="899"/>
      <c r="N2126" s="899"/>
      <c r="O2126" s="899"/>
      <c r="P2126" s="899"/>
      <c r="Q2126" s="573"/>
      <c r="R2126" s="573"/>
      <c r="S2126" s="573"/>
      <c r="T2126" s="573"/>
      <c r="U2126" s="573"/>
      <c r="V2126" s="573"/>
      <c r="W2126" s="573"/>
      <c r="X2126" s="573"/>
      <c r="Y2126" s="573"/>
      <c r="Z2126" s="573"/>
    </row>
    <row r="2127" spans="1:26" ht="18.75">
      <c r="A2127" s="677"/>
      <c r="B2127" s="677"/>
      <c r="C2127" s="677"/>
      <c r="D2127" s="896"/>
      <c r="E2127" s="677"/>
      <c r="F2127" s="677"/>
      <c r="G2127" s="677"/>
      <c r="H2127" s="897"/>
      <c r="I2127" s="898"/>
      <c r="J2127" s="898"/>
      <c r="K2127" s="899"/>
      <c r="L2127" s="899"/>
      <c r="M2127" s="899"/>
      <c r="N2127" s="899"/>
      <c r="O2127" s="899"/>
      <c r="P2127" s="899"/>
      <c r="Q2127" s="573"/>
      <c r="R2127" s="573"/>
      <c r="S2127" s="573"/>
      <c r="T2127" s="573"/>
      <c r="U2127" s="573"/>
      <c r="V2127" s="573"/>
      <c r="W2127" s="573"/>
      <c r="X2127" s="573"/>
      <c r="Y2127" s="573"/>
      <c r="Z2127" s="573"/>
    </row>
    <row r="2128" spans="1:26" ht="18.75">
      <c r="A2128" s="677"/>
      <c r="B2128" s="677"/>
      <c r="C2128" s="677"/>
      <c r="D2128" s="896"/>
      <c r="E2128" s="677"/>
      <c r="F2128" s="677"/>
      <c r="G2128" s="677"/>
      <c r="H2128" s="897"/>
      <c r="I2128" s="898"/>
      <c r="J2128" s="898"/>
      <c r="K2128" s="899"/>
      <c r="L2128" s="899"/>
      <c r="M2128" s="899"/>
      <c r="N2128" s="899"/>
      <c r="O2128" s="899"/>
      <c r="P2128" s="899"/>
      <c r="Q2128" s="573"/>
      <c r="R2128" s="573"/>
      <c r="S2128" s="573"/>
      <c r="T2128" s="573"/>
      <c r="U2128" s="573"/>
      <c r="V2128" s="573"/>
      <c r="W2128" s="573"/>
      <c r="X2128" s="573"/>
      <c r="Y2128" s="573"/>
      <c r="Z2128" s="573"/>
    </row>
    <row r="2129" spans="1:26" ht="18.75">
      <c r="A2129" s="677"/>
      <c r="B2129" s="677"/>
      <c r="C2129" s="677"/>
      <c r="D2129" s="896"/>
      <c r="E2129" s="677"/>
      <c r="F2129" s="677"/>
      <c r="G2129" s="677"/>
      <c r="H2129" s="897"/>
      <c r="I2129" s="898"/>
      <c r="J2129" s="898"/>
      <c r="K2129" s="899"/>
      <c r="L2129" s="899"/>
      <c r="M2129" s="899"/>
      <c r="N2129" s="899"/>
      <c r="O2129" s="899"/>
      <c r="P2129" s="899"/>
      <c r="Q2129" s="573"/>
      <c r="R2129" s="573"/>
      <c r="S2129" s="573"/>
      <c r="T2129" s="573"/>
      <c r="U2129" s="573"/>
      <c r="V2129" s="573"/>
      <c r="W2129" s="573"/>
      <c r="X2129" s="573"/>
      <c r="Y2129" s="573"/>
      <c r="Z2129" s="573"/>
    </row>
    <row r="2130" spans="1:26" ht="18.75">
      <c r="A2130" s="677"/>
      <c r="B2130" s="677"/>
      <c r="C2130" s="677"/>
      <c r="D2130" s="896"/>
      <c r="E2130" s="677"/>
      <c r="F2130" s="677"/>
      <c r="G2130" s="677"/>
      <c r="H2130" s="897"/>
      <c r="I2130" s="898"/>
      <c r="J2130" s="898"/>
      <c r="K2130" s="899"/>
      <c r="L2130" s="899"/>
      <c r="M2130" s="899"/>
      <c r="N2130" s="899"/>
      <c r="O2130" s="899"/>
      <c r="P2130" s="899"/>
      <c r="Q2130" s="573"/>
      <c r="R2130" s="573"/>
      <c r="S2130" s="573"/>
      <c r="T2130" s="573"/>
      <c r="U2130" s="573"/>
      <c r="V2130" s="573"/>
      <c r="W2130" s="573"/>
      <c r="X2130" s="573"/>
      <c r="Y2130" s="573"/>
      <c r="Z2130" s="573"/>
    </row>
    <row r="2131" spans="1:26" ht="18.75">
      <c r="A2131" s="677"/>
      <c r="B2131" s="677"/>
      <c r="C2131" s="677"/>
      <c r="D2131" s="896"/>
      <c r="E2131" s="677"/>
      <c r="F2131" s="677"/>
      <c r="G2131" s="677"/>
      <c r="H2131" s="897"/>
      <c r="I2131" s="898"/>
      <c r="J2131" s="898"/>
      <c r="K2131" s="899"/>
      <c r="L2131" s="899"/>
      <c r="M2131" s="899"/>
      <c r="N2131" s="899"/>
      <c r="O2131" s="899"/>
      <c r="P2131" s="899"/>
      <c r="Q2131" s="573"/>
      <c r="R2131" s="573"/>
      <c r="S2131" s="573"/>
      <c r="T2131" s="573"/>
      <c r="U2131" s="573"/>
      <c r="V2131" s="573"/>
      <c r="W2131" s="573"/>
      <c r="X2131" s="573"/>
      <c r="Y2131" s="573"/>
      <c r="Z2131" s="573"/>
    </row>
    <row r="2132" spans="1:26" ht="18.75">
      <c r="A2132" s="677"/>
      <c r="B2132" s="677"/>
      <c r="C2132" s="677"/>
      <c r="D2132" s="896"/>
      <c r="E2132" s="677"/>
      <c r="F2132" s="677"/>
      <c r="G2132" s="677"/>
      <c r="H2132" s="897"/>
      <c r="I2132" s="898"/>
      <c r="J2132" s="898"/>
      <c r="K2132" s="899"/>
      <c r="L2132" s="899"/>
      <c r="M2132" s="899"/>
      <c r="N2132" s="899"/>
      <c r="O2132" s="899"/>
      <c r="P2132" s="899"/>
      <c r="Q2132" s="573"/>
      <c r="R2132" s="573"/>
      <c r="S2132" s="573"/>
      <c r="T2132" s="573"/>
      <c r="U2132" s="573"/>
      <c r="V2132" s="573"/>
      <c r="W2132" s="573"/>
      <c r="X2132" s="573"/>
      <c r="Y2132" s="573"/>
      <c r="Z2132" s="573"/>
    </row>
    <row r="2133" spans="1:26" ht="18.75">
      <c r="A2133" s="677"/>
      <c r="B2133" s="677"/>
      <c r="C2133" s="677"/>
      <c r="D2133" s="896"/>
      <c r="E2133" s="677"/>
      <c r="F2133" s="677"/>
      <c r="G2133" s="677"/>
      <c r="H2133" s="897"/>
      <c r="I2133" s="898"/>
      <c r="J2133" s="898"/>
      <c r="K2133" s="899"/>
      <c r="L2133" s="899"/>
      <c r="M2133" s="899"/>
      <c r="N2133" s="899"/>
      <c r="O2133" s="899"/>
      <c r="P2133" s="899"/>
      <c r="Q2133" s="573"/>
      <c r="R2133" s="573"/>
      <c r="S2133" s="573"/>
      <c r="T2133" s="573"/>
      <c r="U2133" s="573"/>
      <c r="V2133" s="573"/>
      <c r="W2133" s="573"/>
      <c r="X2133" s="573"/>
      <c r="Y2133" s="573"/>
      <c r="Z2133" s="573"/>
    </row>
    <row r="2134" spans="1:26" ht="18.75">
      <c r="A2134" s="677"/>
      <c r="B2134" s="677"/>
      <c r="C2134" s="677"/>
      <c r="D2134" s="896"/>
      <c r="E2134" s="677"/>
      <c r="F2134" s="677"/>
      <c r="G2134" s="677"/>
      <c r="H2134" s="897"/>
      <c r="I2134" s="898"/>
      <c r="J2134" s="898"/>
      <c r="K2134" s="899"/>
      <c r="L2134" s="899"/>
      <c r="M2134" s="899"/>
      <c r="N2134" s="899"/>
      <c r="O2134" s="899"/>
      <c r="P2134" s="899"/>
      <c r="Q2134" s="573"/>
      <c r="R2134" s="573"/>
      <c r="S2134" s="573"/>
      <c r="T2134" s="573"/>
      <c r="U2134" s="573"/>
      <c r="V2134" s="573"/>
      <c r="W2134" s="573"/>
      <c r="X2134" s="573"/>
      <c r="Y2134" s="573"/>
      <c r="Z2134" s="573"/>
    </row>
    <row r="2135" spans="1:26" ht="18.75">
      <c r="A2135" s="677"/>
      <c r="B2135" s="677"/>
      <c r="C2135" s="677"/>
      <c r="D2135" s="896"/>
      <c r="E2135" s="677"/>
      <c r="F2135" s="677"/>
      <c r="G2135" s="677"/>
      <c r="H2135" s="897"/>
      <c r="I2135" s="898"/>
      <c r="J2135" s="898"/>
      <c r="K2135" s="899"/>
      <c r="L2135" s="899"/>
      <c r="M2135" s="899"/>
      <c r="N2135" s="899"/>
      <c r="O2135" s="899"/>
      <c r="P2135" s="899"/>
      <c r="Q2135" s="573"/>
      <c r="R2135" s="573"/>
      <c r="S2135" s="573"/>
      <c r="T2135" s="573"/>
      <c r="U2135" s="573"/>
      <c r="V2135" s="573"/>
      <c r="W2135" s="573"/>
      <c r="X2135" s="573"/>
      <c r="Y2135" s="573"/>
      <c r="Z2135" s="573"/>
    </row>
    <row r="2136" spans="1:26" ht="18.75">
      <c r="A2136" s="677"/>
      <c r="B2136" s="677"/>
      <c r="C2136" s="677"/>
      <c r="D2136" s="896"/>
      <c r="E2136" s="677"/>
      <c r="F2136" s="677"/>
      <c r="G2136" s="677"/>
      <c r="H2136" s="897"/>
      <c r="I2136" s="898"/>
      <c r="J2136" s="898"/>
      <c r="K2136" s="899"/>
      <c r="L2136" s="899"/>
      <c r="M2136" s="899"/>
      <c r="N2136" s="899"/>
      <c r="O2136" s="899"/>
      <c r="P2136" s="899"/>
      <c r="Q2136" s="573"/>
      <c r="R2136" s="573"/>
      <c r="S2136" s="573"/>
      <c r="T2136" s="573"/>
      <c r="U2136" s="573"/>
      <c r="V2136" s="573"/>
      <c r="W2136" s="573"/>
      <c r="X2136" s="573"/>
      <c r="Y2136" s="573"/>
      <c r="Z2136" s="573"/>
    </row>
    <row r="2137" spans="1:26" ht="18.75">
      <c r="A2137" s="677"/>
      <c r="B2137" s="677"/>
      <c r="C2137" s="677"/>
      <c r="D2137" s="896"/>
      <c r="E2137" s="677"/>
      <c r="F2137" s="677"/>
      <c r="G2137" s="677"/>
      <c r="H2137" s="897"/>
      <c r="I2137" s="898"/>
      <c r="J2137" s="898"/>
      <c r="K2137" s="899"/>
      <c r="L2137" s="899"/>
      <c r="M2137" s="899"/>
      <c r="N2137" s="899"/>
      <c r="O2137" s="899"/>
      <c r="P2137" s="899"/>
      <c r="Q2137" s="573"/>
      <c r="R2137" s="573"/>
      <c r="S2137" s="573"/>
      <c r="T2137" s="573"/>
      <c r="U2137" s="573"/>
      <c r="V2137" s="573"/>
      <c r="W2137" s="573"/>
      <c r="X2137" s="573"/>
      <c r="Y2137" s="573"/>
      <c r="Z2137" s="573"/>
    </row>
    <row r="2138" spans="1:26" ht="18.75">
      <c r="A2138" s="677"/>
      <c r="B2138" s="677"/>
      <c r="C2138" s="677"/>
      <c r="D2138" s="896"/>
      <c r="E2138" s="677"/>
      <c r="F2138" s="677"/>
      <c r="G2138" s="677"/>
      <c r="H2138" s="897"/>
      <c r="I2138" s="898"/>
      <c r="J2138" s="898"/>
      <c r="K2138" s="899"/>
      <c r="L2138" s="899"/>
      <c r="M2138" s="899"/>
      <c r="N2138" s="899"/>
      <c r="O2138" s="899"/>
      <c r="P2138" s="899"/>
      <c r="Q2138" s="573"/>
      <c r="R2138" s="573"/>
      <c r="S2138" s="573"/>
      <c r="T2138" s="573"/>
      <c r="U2138" s="573"/>
      <c r="V2138" s="573"/>
      <c r="W2138" s="573"/>
      <c r="X2138" s="573"/>
      <c r="Y2138" s="573"/>
      <c r="Z2138" s="573"/>
    </row>
    <row r="2139" spans="1:26" ht="18.75">
      <c r="A2139" s="677"/>
      <c r="B2139" s="677"/>
      <c r="C2139" s="677"/>
      <c r="D2139" s="896"/>
      <c r="E2139" s="677"/>
      <c r="F2139" s="677"/>
      <c r="G2139" s="677"/>
      <c r="H2139" s="897"/>
      <c r="I2139" s="898"/>
      <c r="J2139" s="898"/>
      <c r="K2139" s="899"/>
      <c r="L2139" s="899"/>
      <c r="M2139" s="899"/>
      <c r="N2139" s="899"/>
      <c r="O2139" s="899"/>
      <c r="P2139" s="899"/>
      <c r="Q2139" s="573"/>
      <c r="R2139" s="573"/>
      <c r="S2139" s="573"/>
      <c r="T2139" s="573"/>
      <c r="U2139" s="573"/>
      <c r="V2139" s="573"/>
      <c r="W2139" s="573"/>
      <c r="X2139" s="573"/>
      <c r="Y2139" s="573"/>
      <c r="Z2139" s="573"/>
    </row>
    <row r="2140" spans="1:26" ht="18.75">
      <c r="A2140" s="677"/>
      <c r="B2140" s="677"/>
      <c r="C2140" s="677"/>
      <c r="D2140" s="896"/>
      <c r="E2140" s="677"/>
      <c r="F2140" s="677"/>
      <c r="G2140" s="677"/>
      <c r="H2140" s="897"/>
      <c r="I2140" s="898"/>
      <c r="J2140" s="898"/>
      <c r="K2140" s="899"/>
      <c r="L2140" s="899"/>
      <c r="M2140" s="899"/>
      <c r="N2140" s="899"/>
      <c r="O2140" s="899"/>
      <c r="P2140" s="899"/>
      <c r="Q2140" s="573"/>
      <c r="R2140" s="573"/>
      <c r="S2140" s="573"/>
      <c r="T2140" s="573"/>
      <c r="U2140" s="573"/>
      <c r="V2140" s="573"/>
      <c r="W2140" s="573"/>
      <c r="X2140" s="573"/>
      <c r="Y2140" s="573"/>
      <c r="Z2140" s="573"/>
    </row>
    <row r="2141" spans="1:26" ht="18.75">
      <c r="A2141" s="677"/>
      <c r="B2141" s="677"/>
      <c r="C2141" s="677"/>
      <c r="D2141" s="896"/>
      <c r="E2141" s="677"/>
      <c r="F2141" s="677"/>
      <c r="G2141" s="677"/>
      <c r="H2141" s="897"/>
      <c r="I2141" s="898"/>
      <c r="J2141" s="898"/>
      <c r="K2141" s="899"/>
      <c r="L2141" s="899"/>
      <c r="M2141" s="899"/>
      <c r="N2141" s="899"/>
      <c r="O2141" s="899"/>
      <c r="P2141" s="899"/>
      <c r="Q2141" s="573"/>
      <c r="R2141" s="573"/>
      <c r="S2141" s="573"/>
      <c r="T2141" s="573"/>
      <c r="U2141" s="573"/>
      <c r="V2141" s="573"/>
      <c r="W2141" s="573"/>
      <c r="X2141" s="573"/>
      <c r="Y2141" s="573"/>
      <c r="Z2141" s="573"/>
    </row>
    <row r="2142" spans="1:26" ht="18.75">
      <c r="A2142" s="677"/>
      <c r="B2142" s="677"/>
      <c r="C2142" s="677"/>
      <c r="D2142" s="896"/>
      <c r="E2142" s="677"/>
      <c r="F2142" s="677"/>
      <c r="G2142" s="677"/>
      <c r="H2142" s="897"/>
      <c r="I2142" s="898"/>
      <c r="J2142" s="898"/>
      <c r="K2142" s="899"/>
      <c r="L2142" s="899"/>
      <c r="M2142" s="899"/>
      <c r="N2142" s="899"/>
      <c r="O2142" s="899"/>
      <c r="P2142" s="899"/>
      <c r="Q2142" s="573"/>
      <c r="R2142" s="573"/>
      <c r="S2142" s="573"/>
      <c r="T2142" s="573"/>
      <c r="U2142" s="573"/>
      <c r="V2142" s="573"/>
      <c r="W2142" s="573"/>
      <c r="X2142" s="573"/>
      <c r="Y2142" s="573"/>
      <c r="Z2142" s="573"/>
    </row>
    <row r="2143" spans="1:26" ht="18.75">
      <c r="A2143" s="677"/>
      <c r="B2143" s="677"/>
      <c r="C2143" s="677"/>
      <c r="D2143" s="896"/>
      <c r="E2143" s="677"/>
      <c r="F2143" s="677"/>
      <c r="G2143" s="677"/>
      <c r="H2143" s="897"/>
      <c r="I2143" s="898"/>
      <c r="J2143" s="898"/>
      <c r="K2143" s="899"/>
      <c r="L2143" s="899"/>
      <c r="M2143" s="899"/>
      <c r="N2143" s="899"/>
      <c r="O2143" s="899"/>
      <c r="P2143" s="899"/>
      <c r="Q2143" s="573"/>
      <c r="R2143" s="573"/>
      <c r="S2143" s="573"/>
      <c r="T2143" s="573"/>
      <c r="U2143" s="573"/>
      <c r="V2143" s="573"/>
      <c r="W2143" s="573"/>
      <c r="X2143" s="573"/>
      <c r="Y2143" s="573"/>
      <c r="Z2143" s="573"/>
    </row>
    <row r="2144" spans="1:26" ht="18.75">
      <c r="A2144" s="677"/>
      <c r="B2144" s="677"/>
      <c r="C2144" s="677"/>
      <c r="D2144" s="896"/>
      <c r="E2144" s="677"/>
      <c r="F2144" s="677"/>
      <c r="G2144" s="677"/>
      <c r="H2144" s="897"/>
      <c r="I2144" s="898"/>
      <c r="J2144" s="898"/>
      <c r="K2144" s="899"/>
      <c r="L2144" s="899"/>
      <c r="M2144" s="899"/>
      <c r="N2144" s="899"/>
      <c r="O2144" s="899"/>
      <c r="P2144" s="899"/>
      <c r="Q2144" s="573"/>
      <c r="R2144" s="573"/>
      <c r="S2144" s="573"/>
      <c r="T2144" s="573"/>
      <c r="U2144" s="573"/>
      <c r="V2144" s="573"/>
      <c r="W2144" s="573"/>
      <c r="X2144" s="573"/>
      <c r="Y2144" s="573"/>
      <c r="Z2144" s="573"/>
    </row>
    <row r="2145" spans="1:26" ht="18.75">
      <c r="A2145" s="677"/>
      <c r="B2145" s="677"/>
      <c r="C2145" s="677"/>
      <c r="D2145" s="896"/>
      <c r="E2145" s="677"/>
      <c r="F2145" s="677"/>
      <c r="G2145" s="677"/>
      <c r="H2145" s="897"/>
      <c r="I2145" s="898"/>
      <c r="J2145" s="898"/>
      <c r="K2145" s="899"/>
      <c r="L2145" s="899"/>
      <c r="M2145" s="899"/>
      <c r="N2145" s="899"/>
      <c r="O2145" s="899"/>
      <c r="P2145" s="899"/>
      <c r="Q2145" s="573"/>
      <c r="R2145" s="573"/>
      <c r="S2145" s="573"/>
      <c r="T2145" s="573"/>
      <c r="U2145" s="573"/>
      <c r="V2145" s="573"/>
      <c r="W2145" s="573"/>
      <c r="X2145" s="573"/>
      <c r="Y2145" s="573"/>
      <c r="Z2145" s="573"/>
    </row>
    <row r="2146" spans="1:26" ht="18.75">
      <c r="A2146" s="677"/>
      <c r="B2146" s="677"/>
      <c r="C2146" s="677"/>
      <c r="D2146" s="896"/>
      <c r="E2146" s="677"/>
      <c r="F2146" s="677"/>
      <c r="G2146" s="677"/>
      <c r="H2146" s="897"/>
      <c r="I2146" s="898"/>
      <c r="J2146" s="898"/>
      <c r="K2146" s="899"/>
      <c r="L2146" s="899"/>
      <c r="M2146" s="899"/>
      <c r="N2146" s="899"/>
      <c r="O2146" s="899"/>
      <c r="P2146" s="899"/>
      <c r="Q2146" s="573"/>
      <c r="R2146" s="573"/>
      <c r="S2146" s="573"/>
      <c r="T2146" s="573"/>
      <c r="U2146" s="573"/>
      <c r="V2146" s="573"/>
      <c r="W2146" s="573"/>
      <c r="X2146" s="573"/>
      <c r="Y2146" s="573"/>
      <c r="Z2146" s="573"/>
    </row>
    <row r="2147" spans="1:26" ht="18.75">
      <c r="A2147" s="677"/>
      <c r="B2147" s="677"/>
      <c r="C2147" s="677"/>
      <c r="D2147" s="896"/>
      <c r="E2147" s="677"/>
      <c r="F2147" s="677"/>
      <c r="G2147" s="677"/>
      <c r="H2147" s="897"/>
      <c r="I2147" s="898"/>
      <c r="J2147" s="898"/>
      <c r="K2147" s="899"/>
      <c r="L2147" s="899"/>
      <c r="M2147" s="899"/>
      <c r="N2147" s="899"/>
      <c r="O2147" s="899"/>
      <c r="P2147" s="899"/>
      <c r="Q2147" s="573"/>
      <c r="R2147" s="573"/>
      <c r="S2147" s="573"/>
      <c r="T2147" s="573"/>
      <c r="U2147" s="573"/>
      <c r="V2147" s="573"/>
      <c r="W2147" s="573"/>
      <c r="X2147" s="573"/>
      <c r="Y2147" s="573"/>
      <c r="Z2147" s="573"/>
    </row>
    <row r="2148" spans="1:26" ht="18.75">
      <c r="A2148" s="677"/>
      <c r="B2148" s="677"/>
      <c r="C2148" s="677"/>
      <c r="D2148" s="896"/>
      <c r="E2148" s="677"/>
      <c r="F2148" s="677"/>
      <c r="G2148" s="677"/>
      <c r="H2148" s="897"/>
      <c r="I2148" s="898"/>
      <c r="J2148" s="898"/>
      <c r="K2148" s="899"/>
      <c r="L2148" s="899"/>
      <c r="M2148" s="899"/>
      <c r="N2148" s="899"/>
      <c r="O2148" s="899"/>
      <c r="P2148" s="899"/>
      <c r="Q2148" s="573"/>
      <c r="R2148" s="573"/>
      <c r="S2148" s="573"/>
      <c r="T2148" s="573"/>
      <c r="U2148" s="573"/>
      <c r="V2148" s="573"/>
      <c r="W2148" s="573"/>
      <c r="X2148" s="573"/>
      <c r="Y2148" s="573"/>
      <c r="Z2148" s="573"/>
    </row>
    <row r="2149" spans="1:26" ht="18.75">
      <c r="A2149" s="677"/>
      <c r="B2149" s="677"/>
      <c r="C2149" s="677"/>
      <c r="D2149" s="896"/>
      <c r="E2149" s="677"/>
      <c r="F2149" s="677"/>
      <c r="G2149" s="677"/>
      <c r="H2149" s="897"/>
      <c r="I2149" s="898"/>
      <c r="J2149" s="898"/>
      <c r="K2149" s="899"/>
      <c r="L2149" s="899"/>
      <c r="M2149" s="899"/>
      <c r="N2149" s="899"/>
      <c r="O2149" s="899"/>
      <c r="P2149" s="899"/>
      <c r="Q2149" s="573"/>
      <c r="R2149" s="573"/>
      <c r="S2149" s="573"/>
      <c r="T2149" s="573"/>
      <c r="U2149" s="573"/>
      <c r="V2149" s="573"/>
      <c r="W2149" s="573"/>
      <c r="X2149" s="573"/>
      <c r="Y2149" s="573"/>
      <c r="Z2149" s="573"/>
    </row>
    <row r="2150" spans="1:26" ht="18.75">
      <c r="A2150" s="677"/>
      <c r="B2150" s="677"/>
      <c r="C2150" s="677"/>
      <c r="D2150" s="896"/>
      <c r="E2150" s="677"/>
      <c r="F2150" s="677"/>
      <c r="G2150" s="677"/>
      <c r="H2150" s="897"/>
      <c r="I2150" s="898"/>
      <c r="J2150" s="898"/>
      <c r="K2150" s="899"/>
      <c r="L2150" s="899"/>
      <c r="M2150" s="899"/>
      <c r="N2150" s="899"/>
      <c r="O2150" s="899"/>
      <c r="P2150" s="899"/>
      <c r="Q2150" s="573"/>
      <c r="R2150" s="573"/>
      <c r="S2150" s="573"/>
      <c r="T2150" s="573"/>
      <c r="U2150" s="573"/>
      <c r="V2150" s="573"/>
      <c r="W2150" s="573"/>
      <c r="X2150" s="573"/>
      <c r="Y2150" s="573"/>
      <c r="Z2150" s="573"/>
    </row>
    <row r="2151" spans="1:26" ht="18.75">
      <c r="A2151" s="677"/>
      <c r="B2151" s="677"/>
      <c r="C2151" s="677"/>
      <c r="D2151" s="896"/>
      <c r="E2151" s="677"/>
      <c r="F2151" s="677"/>
      <c r="G2151" s="677"/>
      <c r="H2151" s="897"/>
      <c r="I2151" s="898"/>
      <c r="J2151" s="898"/>
      <c r="K2151" s="899"/>
      <c r="L2151" s="899"/>
      <c r="M2151" s="899"/>
      <c r="N2151" s="899"/>
      <c r="O2151" s="899"/>
      <c r="P2151" s="899"/>
      <c r="Q2151" s="573"/>
      <c r="R2151" s="573"/>
      <c r="S2151" s="573"/>
      <c r="T2151" s="573"/>
      <c r="U2151" s="573"/>
      <c r="V2151" s="573"/>
      <c r="W2151" s="573"/>
      <c r="X2151" s="573"/>
      <c r="Y2151" s="573"/>
      <c r="Z2151" s="573"/>
    </row>
    <row r="2152" spans="1:26" ht="18.75">
      <c r="A2152" s="677"/>
      <c r="B2152" s="677"/>
      <c r="C2152" s="677"/>
      <c r="D2152" s="896"/>
      <c r="E2152" s="677"/>
      <c r="F2152" s="677"/>
      <c r="G2152" s="677"/>
      <c r="H2152" s="897"/>
      <c r="I2152" s="898"/>
      <c r="J2152" s="898"/>
      <c r="K2152" s="899"/>
      <c r="L2152" s="899"/>
      <c r="M2152" s="899"/>
      <c r="N2152" s="899"/>
      <c r="O2152" s="899"/>
      <c r="P2152" s="899"/>
      <c r="Q2152" s="573"/>
      <c r="R2152" s="573"/>
      <c r="S2152" s="573"/>
      <c r="T2152" s="573"/>
      <c r="U2152" s="573"/>
      <c r="V2152" s="573"/>
      <c r="W2152" s="573"/>
      <c r="X2152" s="573"/>
      <c r="Y2152" s="573"/>
      <c r="Z2152" s="573"/>
    </row>
    <row r="2153" spans="1:26" ht="18.75">
      <c r="A2153" s="677"/>
      <c r="B2153" s="677"/>
      <c r="C2153" s="677"/>
      <c r="D2153" s="896"/>
      <c r="E2153" s="677"/>
      <c r="F2153" s="677"/>
      <c r="G2153" s="677"/>
      <c r="H2153" s="897"/>
      <c r="I2153" s="898"/>
      <c r="J2153" s="898"/>
      <c r="K2153" s="899"/>
      <c r="L2153" s="899"/>
      <c r="M2153" s="899"/>
      <c r="N2153" s="899"/>
      <c r="O2153" s="899"/>
      <c r="P2153" s="899"/>
      <c r="Q2153" s="573"/>
      <c r="R2153" s="573"/>
      <c r="S2153" s="573"/>
      <c r="T2153" s="573"/>
      <c r="U2153" s="573"/>
      <c r="V2153" s="573"/>
      <c r="W2153" s="573"/>
      <c r="X2153" s="573"/>
      <c r="Y2153" s="573"/>
      <c r="Z2153" s="573"/>
    </row>
    <row r="2154" spans="1:26" ht="18.75">
      <c r="A2154" s="677"/>
      <c r="B2154" s="677"/>
      <c r="C2154" s="677"/>
      <c r="D2154" s="896"/>
      <c r="E2154" s="677"/>
      <c r="F2154" s="677"/>
      <c r="G2154" s="677"/>
      <c r="H2154" s="897"/>
      <c r="I2154" s="898"/>
      <c r="J2154" s="898"/>
      <c r="K2154" s="899"/>
      <c r="L2154" s="899"/>
      <c r="M2154" s="899"/>
      <c r="N2154" s="899"/>
      <c r="O2154" s="899"/>
      <c r="P2154" s="899"/>
      <c r="Q2154" s="573"/>
      <c r="R2154" s="573"/>
      <c r="S2154" s="573"/>
      <c r="T2154" s="573"/>
      <c r="U2154" s="573"/>
      <c r="V2154" s="573"/>
      <c r="W2154" s="573"/>
      <c r="X2154" s="573"/>
      <c r="Y2154" s="573"/>
      <c r="Z2154" s="573"/>
    </row>
    <row r="2155" spans="1:26" ht="18.75">
      <c r="A2155" s="677"/>
      <c r="B2155" s="677"/>
      <c r="C2155" s="677"/>
      <c r="D2155" s="896"/>
      <c r="E2155" s="677"/>
      <c r="F2155" s="677"/>
      <c r="G2155" s="677"/>
      <c r="H2155" s="897"/>
      <c r="I2155" s="898"/>
      <c r="J2155" s="898"/>
      <c r="K2155" s="899"/>
      <c r="L2155" s="899"/>
      <c r="M2155" s="899"/>
      <c r="N2155" s="899"/>
      <c r="O2155" s="899"/>
      <c r="P2155" s="899"/>
      <c r="Q2155" s="573"/>
      <c r="R2155" s="573"/>
      <c r="S2155" s="573"/>
      <c r="T2155" s="573"/>
      <c r="U2155" s="573"/>
      <c r="V2155" s="573"/>
      <c r="W2155" s="573"/>
      <c r="X2155" s="573"/>
      <c r="Y2155" s="573"/>
      <c r="Z2155" s="573"/>
    </row>
    <row r="2156" spans="1:26" ht="18.75">
      <c r="A2156" s="677"/>
      <c r="B2156" s="677"/>
      <c r="C2156" s="677"/>
      <c r="D2156" s="896"/>
      <c r="E2156" s="677"/>
      <c r="F2156" s="677"/>
      <c r="G2156" s="677"/>
      <c r="H2156" s="897"/>
      <c r="I2156" s="898"/>
      <c r="J2156" s="898"/>
      <c r="K2156" s="899"/>
      <c r="L2156" s="899"/>
      <c r="M2156" s="899"/>
      <c r="N2156" s="899"/>
      <c r="O2156" s="899"/>
      <c r="P2156" s="899"/>
      <c r="Q2156" s="573"/>
      <c r="R2156" s="573"/>
      <c r="S2156" s="573"/>
      <c r="T2156" s="573"/>
      <c r="U2156" s="573"/>
      <c r="V2156" s="573"/>
      <c r="W2156" s="573"/>
      <c r="X2156" s="573"/>
      <c r="Y2156" s="573"/>
      <c r="Z2156" s="573"/>
    </row>
    <row r="2157" spans="1:26" ht="18.75">
      <c r="A2157" s="677"/>
      <c r="B2157" s="677"/>
      <c r="C2157" s="677"/>
      <c r="D2157" s="896"/>
      <c r="E2157" s="677"/>
      <c r="F2157" s="677"/>
      <c r="G2157" s="677"/>
      <c r="H2157" s="897"/>
      <c r="I2157" s="898"/>
      <c r="J2157" s="898"/>
      <c r="K2157" s="899"/>
      <c r="L2157" s="899"/>
      <c r="M2157" s="899"/>
      <c r="N2157" s="899"/>
      <c r="O2157" s="899"/>
      <c r="P2157" s="899"/>
      <c r="Q2157" s="573"/>
      <c r="R2157" s="573"/>
      <c r="S2157" s="573"/>
      <c r="T2157" s="573"/>
      <c r="U2157" s="573"/>
      <c r="V2157" s="573"/>
      <c r="W2157" s="573"/>
      <c r="X2157" s="573"/>
      <c r="Y2157" s="573"/>
      <c r="Z2157" s="573"/>
    </row>
    <row r="2158" spans="1:26" ht="18.75">
      <c r="A2158" s="677"/>
      <c r="B2158" s="677"/>
      <c r="C2158" s="677"/>
      <c r="D2158" s="896"/>
      <c r="E2158" s="677"/>
      <c r="F2158" s="677"/>
      <c r="G2158" s="677"/>
      <c r="H2158" s="897"/>
      <c r="I2158" s="898"/>
      <c r="J2158" s="898"/>
      <c r="K2158" s="899"/>
      <c r="L2158" s="899"/>
      <c r="M2158" s="899"/>
      <c r="N2158" s="899"/>
      <c r="O2158" s="899"/>
      <c r="P2158" s="899"/>
      <c r="Q2158" s="573"/>
      <c r="R2158" s="573"/>
      <c r="S2158" s="573"/>
      <c r="T2158" s="573"/>
      <c r="U2158" s="573"/>
      <c r="V2158" s="573"/>
      <c r="W2158" s="573"/>
      <c r="X2158" s="573"/>
      <c r="Y2158" s="573"/>
      <c r="Z2158" s="573"/>
    </row>
    <row r="2159" spans="1:26" ht="18.75">
      <c r="A2159" s="677"/>
      <c r="B2159" s="677"/>
      <c r="C2159" s="677"/>
      <c r="D2159" s="896"/>
      <c r="E2159" s="677"/>
      <c r="F2159" s="677"/>
      <c r="G2159" s="677"/>
      <c r="H2159" s="897"/>
      <c r="I2159" s="898"/>
      <c r="J2159" s="898"/>
      <c r="K2159" s="899"/>
      <c r="L2159" s="899"/>
      <c r="M2159" s="899"/>
      <c r="N2159" s="899"/>
      <c r="O2159" s="899"/>
      <c r="P2159" s="899"/>
      <c r="Q2159" s="573"/>
      <c r="R2159" s="573"/>
      <c r="S2159" s="573"/>
      <c r="T2159" s="573"/>
      <c r="U2159" s="573"/>
      <c r="V2159" s="573"/>
      <c r="W2159" s="573"/>
      <c r="X2159" s="573"/>
      <c r="Y2159" s="573"/>
      <c r="Z2159" s="573"/>
    </row>
    <row r="2160" spans="1:26" ht="18.75">
      <c r="A2160" s="677"/>
      <c r="B2160" s="677"/>
      <c r="C2160" s="677"/>
      <c r="D2160" s="896"/>
      <c r="E2160" s="677"/>
      <c r="F2160" s="677"/>
      <c r="G2160" s="677"/>
      <c r="H2160" s="897"/>
      <c r="I2160" s="898"/>
      <c r="J2160" s="898"/>
      <c r="K2160" s="899"/>
      <c r="L2160" s="899"/>
      <c r="M2160" s="899"/>
      <c r="N2160" s="899"/>
      <c r="O2160" s="899"/>
      <c r="P2160" s="899"/>
      <c r="Q2160" s="573"/>
      <c r="R2160" s="573"/>
      <c r="S2160" s="573"/>
      <c r="T2160" s="573"/>
      <c r="U2160" s="573"/>
      <c r="V2160" s="573"/>
      <c r="W2160" s="573"/>
      <c r="X2160" s="573"/>
      <c r="Y2160" s="573"/>
      <c r="Z2160" s="573"/>
    </row>
    <row r="2161" spans="1:26" ht="18.75">
      <c r="A2161" s="677"/>
      <c r="B2161" s="677"/>
      <c r="C2161" s="677"/>
      <c r="D2161" s="896"/>
      <c r="E2161" s="677"/>
      <c r="F2161" s="677"/>
      <c r="G2161" s="677"/>
      <c r="H2161" s="897"/>
      <c r="I2161" s="898"/>
      <c r="J2161" s="898"/>
      <c r="K2161" s="899"/>
      <c r="L2161" s="899"/>
      <c r="M2161" s="899"/>
      <c r="N2161" s="899"/>
      <c r="O2161" s="899"/>
      <c r="P2161" s="899"/>
      <c r="Q2161" s="573"/>
      <c r="R2161" s="573"/>
      <c r="S2161" s="573"/>
      <c r="T2161" s="573"/>
      <c r="U2161" s="573"/>
      <c r="V2161" s="573"/>
      <c r="W2161" s="573"/>
      <c r="X2161" s="573"/>
      <c r="Y2161" s="573"/>
      <c r="Z2161" s="573"/>
    </row>
    <row r="2162" spans="1:26" ht="18.75">
      <c r="A2162" s="677"/>
      <c r="B2162" s="677"/>
      <c r="C2162" s="677"/>
      <c r="D2162" s="896"/>
      <c r="E2162" s="677"/>
      <c r="F2162" s="677"/>
      <c r="G2162" s="677"/>
      <c r="H2162" s="897"/>
      <c r="I2162" s="898"/>
      <c r="J2162" s="898"/>
      <c r="K2162" s="899"/>
      <c r="L2162" s="899"/>
      <c r="M2162" s="899"/>
      <c r="N2162" s="899"/>
      <c r="O2162" s="899"/>
      <c r="P2162" s="899"/>
      <c r="Q2162" s="573"/>
      <c r="R2162" s="573"/>
      <c r="S2162" s="573"/>
      <c r="T2162" s="573"/>
      <c r="U2162" s="573"/>
      <c r="V2162" s="573"/>
      <c r="W2162" s="573"/>
      <c r="X2162" s="573"/>
      <c r="Y2162" s="573"/>
      <c r="Z2162" s="573"/>
    </row>
    <row r="2163" spans="1:26" ht="18.75">
      <c r="A2163" s="677"/>
      <c r="B2163" s="677"/>
      <c r="C2163" s="677"/>
      <c r="D2163" s="896"/>
      <c r="E2163" s="677"/>
      <c r="F2163" s="677"/>
      <c r="G2163" s="677"/>
      <c r="H2163" s="897"/>
      <c r="I2163" s="898"/>
      <c r="J2163" s="898"/>
      <c r="K2163" s="899"/>
      <c r="L2163" s="899"/>
      <c r="M2163" s="899"/>
      <c r="N2163" s="899"/>
      <c r="O2163" s="899"/>
      <c r="P2163" s="899"/>
      <c r="Q2163" s="573"/>
      <c r="R2163" s="573"/>
      <c r="S2163" s="573"/>
      <c r="T2163" s="573"/>
      <c r="U2163" s="573"/>
      <c r="V2163" s="573"/>
      <c r="W2163" s="573"/>
      <c r="X2163" s="573"/>
      <c r="Y2163" s="573"/>
      <c r="Z2163" s="573"/>
    </row>
    <row r="2164" spans="1:26" ht="18.75">
      <c r="A2164" s="677"/>
      <c r="B2164" s="677"/>
      <c r="C2164" s="677"/>
      <c r="D2164" s="896"/>
      <c r="E2164" s="677"/>
      <c r="F2164" s="677"/>
      <c r="G2164" s="677"/>
      <c r="H2164" s="897"/>
      <c r="I2164" s="898"/>
      <c r="J2164" s="898"/>
      <c r="K2164" s="899"/>
      <c r="L2164" s="899"/>
      <c r="M2164" s="899"/>
      <c r="N2164" s="899"/>
      <c r="O2164" s="899"/>
      <c r="P2164" s="899"/>
      <c r="Q2164" s="573"/>
      <c r="R2164" s="573"/>
      <c r="S2164" s="573"/>
      <c r="T2164" s="573"/>
      <c r="U2164" s="573"/>
      <c r="V2164" s="573"/>
      <c r="W2164" s="573"/>
      <c r="X2164" s="573"/>
      <c r="Y2164" s="573"/>
      <c r="Z2164" s="573"/>
    </row>
    <row r="2165" spans="1:26" ht="18.75">
      <c r="A2165" s="677"/>
      <c r="B2165" s="677"/>
      <c r="C2165" s="677"/>
      <c r="D2165" s="896"/>
      <c r="E2165" s="677"/>
      <c r="F2165" s="677"/>
      <c r="G2165" s="677"/>
      <c r="H2165" s="897"/>
      <c r="I2165" s="898"/>
      <c r="J2165" s="898"/>
      <c r="K2165" s="899"/>
      <c r="L2165" s="899"/>
      <c r="M2165" s="899"/>
      <c r="N2165" s="899"/>
      <c r="O2165" s="899"/>
      <c r="P2165" s="899"/>
      <c r="Q2165" s="573"/>
      <c r="R2165" s="573"/>
      <c r="S2165" s="573"/>
      <c r="T2165" s="573"/>
      <c r="U2165" s="573"/>
      <c r="V2165" s="573"/>
      <c r="W2165" s="573"/>
      <c r="X2165" s="573"/>
      <c r="Y2165" s="573"/>
      <c r="Z2165" s="573"/>
    </row>
    <row r="2166" spans="1:26" ht="18.75">
      <c r="A2166" s="677"/>
      <c r="B2166" s="677"/>
      <c r="C2166" s="677"/>
      <c r="D2166" s="896"/>
      <c r="E2166" s="677"/>
      <c r="F2166" s="677"/>
      <c r="G2166" s="677"/>
      <c r="H2166" s="897"/>
      <c r="I2166" s="898"/>
      <c r="J2166" s="898"/>
      <c r="K2166" s="899"/>
      <c r="L2166" s="899"/>
      <c r="M2166" s="899"/>
      <c r="N2166" s="899"/>
      <c r="O2166" s="899"/>
      <c r="P2166" s="899"/>
      <c r="Q2166" s="573"/>
      <c r="R2166" s="573"/>
      <c r="S2166" s="573"/>
      <c r="T2166" s="573"/>
      <c r="U2166" s="573"/>
      <c r="V2166" s="573"/>
      <c r="W2166" s="573"/>
      <c r="X2166" s="573"/>
      <c r="Y2166" s="573"/>
      <c r="Z2166" s="573"/>
    </row>
    <row r="2167" spans="1:26" ht="18.75">
      <c r="A2167" s="677"/>
      <c r="B2167" s="677"/>
      <c r="C2167" s="677"/>
      <c r="D2167" s="896"/>
      <c r="E2167" s="677"/>
      <c r="F2167" s="677"/>
      <c r="G2167" s="677"/>
      <c r="H2167" s="897"/>
      <c r="I2167" s="898"/>
      <c r="J2167" s="898"/>
      <c r="K2167" s="899"/>
      <c r="L2167" s="899"/>
      <c r="M2167" s="899"/>
      <c r="N2167" s="899"/>
      <c r="O2167" s="899"/>
      <c r="P2167" s="899"/>
      <c r="Q2167" s="573"/>
      <c r="R2167" s="573"/>
      <c r="S2167" s="573"/>
      <c r="T2167" s="573"/>
      <c r="U2167" s="573"/>
      <c r="V2167" s="573"/>
      <c r="W2167" s="573"/>
      <c r="X2167" s="573"/>
      <c r="Y2167" s="573"/>
      <c r="Z2167" s="573"/>
    </row>
    <row r="2168" spans="1:26" ht="18.75">
      <c r="A2168" s="677"/>
      <c r="B2168" s="677"/>
      <c r="C2168" s="677"/>
      <c r="D2168" s="896"/>
      <c r="E2168" s="677"/>
      <c r="F2168" s="677"/>
      <c r="G2168" s="677"/>
      <c r="H2168" s="897"/>
      <c r="I2168" s="898"/>
      <c r="J2168" s="898"/>
      <c r="K2168" s="899"/>
      <c r="L2168" s="899"/>
      <c r="M2168" s="899"/>
      <c r="N2168" s="899"/>
      <c r="O2168" s="899"/>
      <c r="P2168" s="899"/>
      <c r="Q2168" s="573"/>
      <c r="R2168" s="573"/>
      <c r="S2168" s="573"/>
      <c r="T2168" s="573"/>
      <c r="U2168" s="573"/>
      <c r="V2168" s="573"/>
      <c r="W2168" s="573"/>
      <c r="X2168" s="573"/>
      <c r="Y2168" s="573"/>
      <c r="Z2168" s="573"/>
    </row>
    <row r="2169" spans="1:26" ht="18.75">
      <c r="A2169" s="677"/>
      <c r="B2169" s="677"/>
      <c r="C2169" s="677"/>
      <c r="D2169" s="896"/>
      <c r="E2169" s="677"/>
      <c r="F2169" s="677"/>
      <c r="G2169" s="677"/>
      <c r="H2169" s="897"/>
      <c r="I2169" s="898"/>
      <c r="J2169" s="898"/>
      <c r="K2169" s="899"/>
      <c r="L2169" s="899"/>
      <c r="M2169" s="899"/>
      <c r="N2169" s="899"/>
      <c r="O2169" s="899"/>
      <c r="P2169" s="899"/>
      <c r="Q2169" s="573"/>
      <c r="R2169" s="573"/>
      <c r="S2169" s="573"/>
      <c r="T2169" s="573"/>
      <c r="U2169" s="573"/>
      <c r="V2169" s="573"/>
      <c r="W2169" s="573"/>
      <c r="X2169" s="573"/>
      <c r="Y2169" s="573"/>
      <c r="Z2169" s="573"/>
    </row>
    <row r="2170" spans="1:26" ht="18.75">
      <c r="A2170" s="677"/>
      <c r="B2170" s="677"/>
      <c r="C2170" s="677"/>
      <c r="D2170" s="896"/>
      <c r="E2170" s="677"/>
      <c r="F2170" s="677"/>
      <c r="G2170" s="677"/>
      <c r="H2170" s="897"/>
      <c r="I2170" s="898"/>
      <c r="J2170" s="898"/>
      <c r="K2170" s="899"/>
      <c r="L2170" s="899"/>
      <c r="M2170" s="899"/>
      <c r="N2170" s="899"/>
      <c r="O2170" s="899"/>
      <c r="P2170" s="899"/>
      <c r="Q2170" s="573"/>
      <c r="R2170" s="573"/>
      <c r="S2170" s="573"/>
      <c r="T2170" s="573"/>
      <c r="U2170" s="573"/>
      <c r="V2170" s="573"/>
      <c r="W2170" s="573"/>
      <c r="X2170" s="573"/>
      <c r="Y2170" s="573"/>
      <c r="Z2170" s="573"/>
    </row>
    <row r="2171" spans="1:26" ht="18.75">
      <c r="A2171" s="677"/>
      <c r="B2171" s="677"/>
      <c r="C2171" s="677"/>
      <c r="D2171" s="896"/>
      <c r="E2171" s="677"/>
      <c r="F2171" s="677"/>
      <c r="G2171" s="677"/>
      <c r="H2171" s="897"/>
      <c r="I2171" s="898"/>
      <c r="J2171" s="898"/>
      <c r="K2171" s="899"/>
      <c r="L2171" s="899"/>
      <c r="M2171" s="899"/>
      <c r="N2171" s="899"/>
      <c r="O2171" s="899"/>
      <c r="P2171" s="899"/>
      <c r="Q2171" s="573"/>
      <c r="R2171" s="573"/>
      <c r="S2171" s="573"/>
      <c r="T2171" s="573"/>
      <c r="U2171" s="573"/>
      <c r="V2171" s="573"/>
      <c r="W2171" s="573"/>
      <c r="X2171" s="573"/>
      <c r="Y2171" s="573"/>
      <c r="Z2171" s="573"/>
    </row>
    <row r="2172" spans="1:26" ht="18.75">
      <c r="A2172" s="677"/>
      <c r="B2172" s="677"/>
      <c r="C2172" s="677"/>
      <c r="D2172" s="896"/>
      <c r="E2172" s="677"/>
      <c r="F2172" s="677"/>
      <c r="G2172" s="677"/>
      <c r="H2172" s="897"/>
      <c r="I2172" s="898"/>
      <c r="J2172" s="898"/>
      <c r="K2172" s="899"/>
      <c r="L2172" s="899"/>
      <c r="M2172" s="899"/>
      <c r="N2172" s="899"/>
      <c r="O2172" s="899"/>
      <c r="P2172" s="899"/>
      <c r="Q2172" s="573"/>
      <c r="R2172" s="573"/>
      <c r="S2172" s="573"/>
      <c r="T2172" s="573"/>
      <c r="U2172" s="573"/>
      <c r="V2172" s="573"/>
      <c r="W2172" s="573"/>
      <c r="X2172" s="573"/>
      <c r="Y2172" s="573"/>
      <c r="Z2172" s="573"/>
    </row>
    <row r="2173" spans="1:26" ht="18.75">
      <c r="A2173" s="677"/>
      <c r="B2173" s="677"/>
      <c r="C2173" s="677"/>
      <c r="D2173" s="896"/>
      <c r="E2173" s="677"/>
      <c r="F2173" s="677"/>
      <c r="G2173" s="677"/>
      <c r="H2173" s="897"/>
      <c r="I2173" s="898"/>
      <c r="J2173" s="898"/>
      <c r="K2173" s="899"/>
      <c r="L2173" s="899"/>
      <c r="M2173" s="899"/>
      <c r="N2173" s="899"/>
      <c r="O2173" s="899"/>
      <c r="P2173" s="899"/>
      <c r="Q2173" s="573"/>
      <c r="R2173" s="573"/>
      <c r="S2173" s="573"/>
      <c r="T2173" s="573"/>
      <c r="U2173" s="573"/>
      <c r="V2173" s="573"/>
      <c r="W2173" s="573"/>
      <c r="X2173" s="573"/>
      <c r="Y2173" s="573"/>
      <c r="Z2173" s="573"/>
    </row>
    <row r="2174" spans="1:26" ht="18.75">
      <c r="A2174" s="677"/>
      <c r="B2174" s="677"/>
      <c r="C2174" s="677"/>
      <c r="D2174" s="896"/>
      <c r="E2174" s="677"/>
      <c r="F2174" s="677"/>
      <c r="G2174" s="677"/>
      <c r="H2174" s="897"/>
      <c r="I2174" s="898"/>
      <c r="J2174" s="898"/>
      <c r="K2174" s="899"/>
      <c r="L2174" s="899"/>
      <c r="M2174" s="899"/>
      <c r="N2174" s="899"/>
      <c r="O2174" s="899"/>
      <c r="P2174" s="899"/>
      <c r="Q2174" s="573"/>
      <c r="R2174" s="573"/>
      <c r="S2174" s="573"/>
      <c r="T2174" s="573"/>
      <c r="U2174" s="573"/>
      <c r="V2174" s="573"/>
      <c r="W2174" s="573"/>
      <c r="X2174" s="573"/>
      <c r="Y2174" s="573"/>
      <c r="Z2174" s="573"/>
    </row>
    <row r="2175" spans="1:26" ht="18.75">
      <c r="A2175" s="677"/>
      <c r="B2175" s="677"/>
      <c r="C2175" s="677"/>
      <c r="D2175" s="896"/>
      <c r="E2175" s="677"/>
      <c r="F2175" s="677"/>
      <c r="G2175" s="677"/>
      <c r="H2175" s="897"/>
      <c r="I2175" s="898"/>
      <c r="J2175" s="898"/>
      <c r="K2175" s="899"/>
      <c r="L2175" s="899"/>
      <c r="M2175" s="899"/>
      <c r="N2175" s="899"/>
      <c r="O2175" s="899"/>
      <c r="P2175" s="899"/>
      <c r="Q2175" s="573"/>
      <c r="R2175" s="573"/>
      <c r="S2175" s="573"/>
      <c r="T2175" s="573"/>
      <c r="U2175" s="573"/>
      <c r="V2175" s="573"/>
      <c r="W2175" s="573"/>
      <c r="X2175" s="573"/>
      <c r="Y2175" s="573"/>
      <c r="Z2175" s="573"/>
    </row>
    <row r="2176" spans="1:26" ht="18.75">
      <c r="A2176" s="677"/>
      <c r="B2176" s="677"/>
      <c r="C2176" s="677"/>
      <c r="D2176" s="896"/>
      <c r="E2176" s="677"/>
      <c r="F2176" s="677"/>
      <c r="G2176" s="677"/>
      <c r="H2176" s="897"/>
      <c r="I2176" s="898"/>
      <c r="J2176" s="898"/>
      <c r="K2176" s="899"/>
      <c r="L2176" s="899"/>
      <c r="M2176" s="899"/>
      <c r="N2176" s="899"/>
      <c r="O2176" s="899"/>
      <c r="P2176" s="899"/>
      <c r="Q2176" s="573"/>
      <c r="R2176" s="573"/>
      <c r="S2176" s="573"/>
      <c r="T2176" s="573"/>
      <c r="U2176" s="573"/>
      <c r="V2176" s="573"/>
      <c r="W2176" s="573"/>
      <c r="X2176" s="573"/>
      <c r="Y2176" s="573"/>
      <c r="Z2176" s="573"/>
    </row>
    <row r="2177" spans="1:26" ht="18.75">
      <c r="A2177" s="677"/>
      <c r="B2177" s="677"/>
      <c r="C2177" s="677"/>
      <c r="D2177" s="896"/>
      <c r="E2177" s="677"/>
      <c r="F2177" s="677"/>
      <c r="G2177" s="677"/>
      <c r="H2177" s="897"/>
      <c r="I2177" s="898"/>
      <c r="J2177" s="898"/>
      <c r="K2177" s="899"/>
      <c r="L2177" s="899"/>
      <c r="M2177" s="899"/>
      <c r="N2177" s="899"/>
      <c r="O2177" s="899"/>
      <c r="P2177" s="899"/>
      <c r="Q2177" s="573"/>
      <c r="R2177" s="573"/>
      <c r="S2177" s="573"/>
      <c r="T2177" s="573"/>
      <c r="U2177" s="573"/>
      <c r="V2177" s="573"/>
      <c r="W2177" s="573"/>
      <c r="X2177" s="573"/>
      <c r="Y2177" s="573"/>
      <c r="Z2177" s="573"/>
    </row>
    <row r="2178" spans="1:26" ht="18.75">
      <c r="A2178" s="677"/>
      <c r="B2178" s="677"/>
      <c r="C2178" s="677"/>
      <c r="D2178" s="896"/>
      <c r="E2178" s="677"/>
      <c r="F2178" s="677"/>
      <c r="G2178" s="677"/>
      <c r="H2178" s="897"/>
      <c r="I2178" s="898"/>
      <c r="J2178" s="898"/>
      <c r="K2178" s="899"/>
      <c r="L2178" s="899"/>
      <c r="M2178" s="899"/>
      <c r="N2178" s="899"/>
      <c r="O2178" s="899"/>
      <c r="P2178" s="899"/>
      <c r="Q2178" s="573"/>
      <c r="R2178" s="573"/>
      <c r="S2178" s="573"/>
      <c r="T2178" s="573"/>
      <c r="U2178" s="573"/>
      <c r="V2178" s="573"/>
      <c r="W2178" s="573"/>
      <c r="X2178" s="573"/>
      <c r="Y2178" s="573"/>
      <c r="Z2178" s="573"/>
    </row>
    <row r="2179" spans="1:26" ht="18.75">
      <c r="A2179" s="677"/>
      <c r="B2179" s="677"/>
      <c r="C2179" s="677"/>
      <c r="D2179" s="896"/>
      <c r="E2179" s="677"/>
      <c r="F2179" s="677"/>
      <c r="G2179" s="677"/>
      <c r="H2179" s="897"/>
      <c r="I2179" s="898"/>
      <c r="J2179" s="898"/>
      <c r="K2179" s="899"/>
      <c r="L2179" s="899"/>
      <c r="M2179" s="899"/>
      <c r="N2179" s="899"/>
      <c r="O2179" s="899"/>
      <c r="P2179" s="899"/>
      <c r="Q2179" s="573"/>
      <c r="R2179" s="573"/>
      <c r="S2179" s="573"/>
      <c r="T2179" s="573"/>
      <c r="U2179" s="573"/>
      <c r="V2179" s="573"/>
      <c r="W2179" s="573"/>
      <c r="X2179" s="573"/>
      <c r="Y2179" s="573"/>
      <c r="Z2179" s="573"/>
    </row>
    <row r="2180" spans="1:26" ht="18.75">
      <c r="A2180" s="677"/>
      <c r="B2180" s="677"/>
      <c r="C2180" s="677"/>
      <c r="D2180" s="896"/>
      <c r="E2180" s="677"/>
      <c r="F2180" s="677"/>
      <c r="G2180" s="677"/>
      <c r="H2180" s="897"/>
      <c r="I2180" s="898"/>
      <c r="J2180" s="898"/>
      <c r="K2180" s="899"/>
      <c r="L2180" s="899"/>
      <c r="M2180" s="899"/>
      <c r="N2180" s="899"/>
      <c r="O2180" s="899"/>
      <c r="P2180" s="899"/>
      <c r="Q2180" s="573"/>
      <c r="R2180" s="573"/>
      <c r="S2180" s="573"/>
      <c r="T2180" s="573"/>
      <c r="U2180" s="573"/>
      <c r="V2180" s="573"/>
      <c r="W2180" s="573"/>
      <c r="X2180" s="573"/>
      <c r="Y2180" s="573"/>
      <c r="Z2180" s="573"/>
    </row>
    <row r="2181" spans="1:26" ht="18.75">
      <c r="A2181" s="677"/>
      <c r="B2181" s="677"/>
      <c r="C2181" s="677"/>
      <c r="D2181" s="896"/>
      <c r="E2181" s="677"/>
      <c r="F2181" s="677"/>
      <c r="G2181" s="677"/>
      <c r="H2181" s="897"/>
      <c r="I2181" s="898"/>
      <c r="J2181" s="898"/>
      <c r="K2181" s="899"/>
      <c r="L2181" s="899"/>
      <c r="M2181" s="899"/>
      <c r="N2181" s="899"/>
      <c r="O2181" s="899"/>
      <c r="P2181" s="899"/>
      <c r="Q2181" s="573"/>
      <c r="R2181" s="573"/>
      <c r="S2181" s="573"/>
      <c r="T2181" s="573"/>
      <c r="U2181" s="573"/>
      <c r="V2181" s="573"/>
      <c r="W2181" s="573"/>
      <c r="X2181" s="573"/>
      <c r="Y2181" s="573"/>
      <c r="Z2181" s="573"/>
    </row>
    <row r="2182" spans="1:26" ht="18.75">
      <c r="A2182" s="677"/>
      <c r="B2182" s="677"/>
      <c r="C2182" s="677"/>
      <c r="D2182" s="896"/>
      <c r="E2182" s="677"/>
      <c r="F2182" s="677"/>
      <c r="G2182" s="677"/>
      <c r="H2182" s="897"/>
      <c r="I2182" s="898"/>
      <c r="J2182" s="898"/>
      <c r="K2182" s="899"/>
      <c r="L2182" s="899"/>
      <c r="M2182" s="899"/>
      <c r="N2182" s="899"/>
      <c r="O2182" s="899"/>
      <c r="P2182" s="899"/>
      <c r="Q2182" s="573"/>
      <c r="R2182" s="573"/>
      <c r="S2182" s="573"/>
      <c r="T2182" s="573"/>
      <c r="U2182" s="573"/>
      <c r="V2182" s="573"/>
      <c r="W2182" s="573"/>
      <c r="X2182" s="573"/>
      <c r="Y2182" s="573"/>
      <c r="Z2182" s="573"/>
    </row>
    <row r="2183" spans="1:26" ht="18.75">
      <c r="A2183" s="677"/>
      <c r="B2183" s="677"/>
      <c r="C2183" s="677"/>
      <c r="D2183" s="896"/>
      <c r="E2183" s="677"/>
      <c r="F2183" s="677"/>
      <c r="G2183" s="677"/>
      <c r="H2183" s="897"/>
      <c r="I2183" s="898"/>
      <c r="J2183" s="898"/>
      <c r="K2183" s="899"/>
      <c r="L2183" s="899"/>
      <c r="M2183" s="899"/>
      <c r="N2183" s="899"/>
      <c r="O2183" s="899"/>
      <c r="P2183" s="899"/>
      <c r="Q2183" s="573"/>
      <c r="R2183" s="573"/>
      <c r="S2183" s="573"/>
      <c r="T2183" s="573"/>
      <c r="U2183" s="573"/>
      <c r="V2183" s="573"/>
      <c r="W2183" s="573"/>
      <c r="X2183" s="573"/>
      <c r="Y2183" s="573"/>
      <c r="Z2183" s="573"/>
    </row>
    <row r="2184" spans="1:26" ht="18.75">
      <c r="A2184" s="677"/>
      <c r="B2184" s="677"/>
      <c r="C2184" s="677"/>
      <c r="D2184" s="896"/>
      <c r="E2184" s="677"/>
      <c r="F2184" s="677"/>
      <c r="G2184" s="677"/>
      <c r="H2184" s="897"/>
      <c r="I2184" s="898"/>
      <c r="J2184" s="898"/>
      <c r="K2184" s="899"/>
      <c r="L2184" s="899"/>
      <c r="M2184" s="899"/>
      <c r="N2184" s="899"/>
      <c r="O2184" s="899"/>
      <c r="P2184" s="899"/>
      <c r="Q2184" s="573"/>
      <c r="R2184" s="573"/>
      <c r="S2184" s="573"/>
      <c r="T2184" s="573"/>
      <c r="U2184" s="573"/>
      <c r="V2184" s="573"/>
      <c r="W2184" s="573"/>
      <c r="X2184" s="573"/>
      <c r="Y2184" s="573"/>
      <c r="Z2184" s="573"/>
    </row>
    <row r="2185" spans="1:26" ht="18.75">
      <c r="A2185" s="677"/>
      <c r="B2185" s="677"/>
      <c r="C2185" s="677"/>
      <c r="D2185" s="896"/>
      <c r="E2185" s="677"/>
      <c r="F2185" s="677"/>
      <c r="G2185" s="677"/>
      <c r="H2185" s="897"/>
      <c r="I2185" s="898"/>
      <c r="J2185" s="898"/>
      <c r="K2185" s="899"/>
      <c r="L2185" s="899"/>
      <c r="M2185" s="899"/>
      <c r="N2185" s="899"/>
      <c r="O2185" s="899"/>
      <c r="P2185" s="899"/>
      <c r="Q2185" s="573"/>
      <c r="R2185" s="573"/>
      <c r="S2185" s="573"/>
      <c r="T2185" s="573"/>
      <c r="U2185" s="573"/>
      <c r="V2185" s="573"/>
      <c r="W2185" s="573"/>
      <c r="X2185" s="573"/>
      <c r="Y2185" s="573"/>
      <c r="Z2185" s="573"/>
    </row>
    <row r="2186" spans="1:26" ht="18.75">
      <c r="A2186" s="677"/>
      <c r="B2186" s="677"/>
      <c r="C2186" s="677"/>
      <c r="D2186" s="896"/>
      <c r="E2186" s="677"/>
      <c r="F2186" s="677"/>
      <c r="G2186" s="677"/>
      <c r="H2186" s="897"/>
      <c r="I2186" s="898"/>
      <c r="J2186" s="898"/>
      <c r="K2186" s="899"/>
      <c r="L2186" s="899"/>
      <c r="M2186" s="899"/>
      <c r="N2186" s="899"/>
      <c r="O2186" s="899"/>
      <c r="P2186" s="899"/>
      <c r="Q2186" s="573"/>
      <c r="R2186" s="573"/>
      <c r="S2186" s="573"/>
      <c r="T2186" s="573"/>
      <c r="U2186" s="573"/>
      <c r="V2186" s="573"/>
      <c r="W2186" s="573"/>
      <c r="X2186" s="573"/>
      <c r="Y2186" s="573"/>
      <c r="Z2186" s="573"/>
    </row>
    <row r="2187" spans="1:26" ht="18.75">
      <c r="A2187" s="677"/>
      <c r="B2187" s="677"/>
      <c r="C2187" s="677"/>
      <c r="D2187" s="896"/>
      <c r="E2187" s="677"/>
      <c r="F2187" s="677"/>
      <c r="G2187" s="677"/>
      <c r="H2187" s="897"/>
      <c r="I2187" s="898"/>
      <c r="J2187" s="898"/>
      <c r="K2187" s="899"/>
      <c r="L2187" s="899"/>
      <c r="M2187" s="899"/>
      <c r="N2187" s="899"/>
      <c r="O2187" s="899"/>
      <c r="P2187" s="899"/>
      <c r="Q2187" s="573"/>
      <c r="R2187" s="573"/>
      <c r="S2187" s="573"/>
      <c r="T2187" s="573"/>
      <c r="U2187" s="573"/>
      <c r="V2187" s="573"/>
      <c r="W2187" s="573"/>
      <c r="X2187" s="573"/>
      <c r="Y2187" s="573"/>
      <c r="Z2187" s="573"/>
    </row>
    <row r="2188" spans="1:26" ht="18.75">
      <c r="A2188" s="677"/>
      <c r="B2188" s="677"/>
      <c r="C2188" s="677"/>
      <c r="D2188" s="896"/>
      <c r="E2188" s="677"/>
      <c r="F2188" s="677"/>
      <c r="G2188" s="677"/>
      <c r="H2188" s="897"/>
      <c r="I2188" s="898"/>
      <c r="J2188" s="898"/>
      <c r="K2188" s="899"/>
      <c r="L2188" s="899"/>
      <c r="M2188" s="899"/>
      <c r="N2188" s="899"/>
      <c r="O2188" s="899"/>
      <c r="P2188" s="899"/>
      <c r="Q2188" s="573"/>
      <c r="R2188" s="573"/>
      <c r="S2188" s="573"/>
      <c r="T2188" s="573"/>
      <c r="U2188" s="573"/>
      <c r="V2188" s="573"/>
      <c r="W2188" s="573"/>
      <c r="X2188" s="573"/>
      <c r="Y2188" s="573"/>
      <c r="Z2188" s="573"/>
    </row>
    <row r="2189" spans="1:26" ht="18.75">
      <c r="A2189" s="677"/>
      <c r="B2189" s="677"/>
      <c r="C2189" s="677"/>
      <c r="D2189" s="896"/>
      <c r="E2189" s="677"/>
      <c r="F2189" s="677"/>
      <c r="G2189" s="677"/>
      <c r="H2189" s="897"/>
      <c r="I2189" s="898"/>
      <c r="J2189" s="898"/>
      <c r="K2189" s="899"/>
      <c r="L2189" s="899"/>
      <c r="M2189" s="899"/>
      <c r="N2189" s="899"/>
      <c r="O2189" s="899"/>
      <c r="P2189" s="899"/>
      <c r="Q2189" s="573"/>
      <c r="R2189" s="573"/>
      <c r="S2189" s="573"/>
      <c r="T2189" s="573"/>
      <c r="U2189" s="573"/>
      <c r="V2189" s="573"/>
      <c r="W2189" s="573"/>
      <c r="X2189" s="573"/>
      <c r="Y2189" s="573"/>
      <c r="Z2189" s="573"/>
    </row>
    <row r="2190" spans="1:26" ht="18.75">
      <c r="A2190" s="677"/>
      <c r="B2190" s="677"/>
      <c r="C2190" s="677"/>
      <c r="D2190" s="896"/>
      <c r="E2190" s="677"/>
      <c r="F2190" s="677"/>
      <c r="G2190" s="677"/>
      <c r="H2190" s="897"/>
      <c r="I2190" s="898"/>
      <c r="J2190" s="898"/>
      <c r="K2190" s="899"/>
      <c r="L2190" s="899"/>
      <c r="M2190" s="899"/>
      <c r="N2190" s="899"/>
      <c r="O2190" s="899"/>
      <c r="P2190" s="899"/>
      <c r="Q2190" s="573"/>
      <c r="R2190" s="573"/>
      <c r="S2190" s="573"/>
      <c r="T2190" s="573"/>
      <c r="U2190" s="573"/>
      <c r="V2190" s="573"/>
      <c r="W2190" s="573"/>
      <c r="X2190" s="573"/>
      <c r="Y2190" s="573"/>
      <c r="Z2190" s="573"/>
    </row>
    <row r="2191" spans="1:26" ht="18.75">
      <c r="A2191" s="677"/>
      <c r="B2191" s="677"/>
      <c r="C2191" s="677"/>
      <c r="D2191" s="896"/>
      <c r="E2191" s="677"/>
      <c r="F2191" s="677"/>
      <c r="G2191" s="677"/>
      <c r="H2191" s="897"/>
      <c r="I2191" s="898"/>
      <c r="J2191" s="898"/>
      <c r="K2191" s="899"/>
      <c r="L2191" s="899"/>
      <c r="M2191" s="899"/>
      <c r="N2191" s="899"/>
      <c r="O2191" s="899"/>
      <c r="P2191" s="899"/>
      <c r="Q2191" s="573"/>
      <c r="R2191" s="573"/>
      <c r="S2191" s="573"/>
      <c r="T2191" s="573"/>
      <c r="U2191" s="573"/>
      <c r="V2191" s="573"/>
      <c r="W2191" s="573"/>
      <c r="X2191" s="573"/>
      <c r="Y2191" s="573"/>
      <c r="Z2191" s="573"/>
    </row>
    <row r="2192" spans="1:26" ht="18.75">
      <c r="A2192" s="677"/>
      <c r="B2192" s="677"/>
      <c r="C2192" s="677"/>
      <c r="D2192" s="896"/>
      <c r="E2192" s="677"/>
      <c r="F2192" s="677"/>
      <c r="G2192" s="677"/>
      <c r="H2192" s="897"/>
      <c r="I2192" s="898"/>
      <c r="J2192" s="898"/>
      <c r="K2192" s="899"/>
      <c r="L2192" s="899"/>
      <c r="M2192" s="899"/>
      <c r="N2192" s="899"/>
      <c r="O2192" s="899"/>
      <c r="P2192" s="899"/>
      <c r="Q2192" s="573"/>
      <c r="R2192" s="573"/>
      <c r="S2192" s="573"/>
      <c r="T2192" s="573"/>
      <c r="U2192" s="573"/>
      <c r="V2192" s="573"/>
      <c r="W2192" s="573"/>
      <c r="X2192" s="573"/>
      <c r="Y2192" s="573"/>
      <c r="Z2192" s="573"/>
    </row>
    <row r="2193" spans="1:26" ht="18.75">
      <c r="A2193" s="677"/>
      <c r="B2193" s="677"/>
      <c r="C2193" s="677"/>
      <c r="D2193" s="896"/>
      <c r="E2193" s="677"/>
      <c r="F2193" s="677"/>
      <c r="G2193" s="677"/>
      <c r="H2193" s="897"/>
      <c r="I2193" s="898"/>
      <c r="J2193" s="898"/>
      <c r="K2193" s="899"/>
      <c r="L2193" s="899"/>
      <c r="M2193" s="899"/>
      <c r="N2193" s="899"/>
      <c r="O2193" s="899"/>
      <c r="P2193" s="899"/>
      <c r="Q2193" s="573"/>
      <c r="R2193" s="573"/>
      <c r="S2193" s="573"/>
      <c r="T2193" s="573"/>
      <c r="U2193" s="573"/>
      <c r="V2193" s="573"/>
      <c r="W2193" s="573"/>
      <c r="X2193" s="573"/>
      <c r="Y2193" s="573"/>
      <c r="Z2193" s="573"/>
    </row>
    <row r="2194" spans="1:26" ht="18.75">
      <c r="A2194" s="677"/>
      <c r="B2194" s="677"/>
      <c r="C2194" s="677"/>
      <c r="D2194" s="896"/>
      <c r="E2194" s="677"/>
      <c r="F2194" s="677"/>
      <c r="G2194" s="677"/>
      <c r="H2194" s="897"/>
      <c r="I2194" s="898"/>
      <c r="J2194" s="898"/>
      <c r="K2194" s="899"/>
      <c r="L2194" s="899"/>
      <c r="M2194" s="899"/>
      <c r="N2194" s="899"/>
      <c r="O2194" s="899"/>
      <c r="P2194" s="899"/>
      <c r="Q2194" s="573"/>
      <c r="R2194" s="573"/>
      <c r="S2194" s="573"/>
      <c r="T2194" s="573"/>
      <c r="U2194" s="573"/>
      <c r="V2194" s="573"/>
      <c r="W2194" s="573"/>
      <c r="X2194" s="573"/>
      <c r="Y2194" s="573"/>
      <c r="Z2194" s="573"/>
    </row>
    <row r="2195" spans="1:26" ht="18.75">
      <c r="A2195" s="677"/>
      <c r="B2195" s="677"/>
      <c r="C2195" s="677"/>
      <c r="D2195" s="896"/>
      <c r="E2195" s="677"/>
      <c r="F2195" s="677"/>
      <c r="G2195" s="677"/>
      <c r="H2195" s="897"/>
      <c r="I2195" s="898"/>
      <c r="J2195" s="898"/>
      <c r="K2195" s="899"/>
      <c r="L2195" s="899"/>
      <c r="M2195" s="899"/>
      <c r="N2195" s="899"/>
      <c r="O2195" s="899"/>
      <c r="P2195" s="899"/>
      <c r="Q2195" s="573"/>
      <c r="R2195" s="573"/>
      <c r="S2195" s="573"/>
      <c r="T2195" s="573"/>
      <c r="U2195" s="573"/>
      <c r="V2195" s="573"/>
      <c r="W2195" s="573"/>
      <c r="X2195" s="573"/>
      <c r="Y2195" s="573"/>
      <c r="Z2195" s="573"/>
    </row>
    <row r="2196" spans="1:26" ht="18.75">
      <c r="A2196" s="677"/>
      <c r="B2196" s="677"/>
      <c r="C2196" s="677"/>
      <c r="D2196" s="896"/>
      <c r="E2196" s="677"/>
      <c r="F2196" s="677"/>
      <c r="G2196" s="677"/>
      <c r="H2196" s="897"/>
      <c r="I2196" s="898"/>
      <c r="J2196" s="898"/>
      <c r="K2196" s="899"/>
      <c r="L2196" s="899"/>
      <c r="M2196" s="899"/>
      <c r="N2196" s="899"/>
      <c r="O2196" s="899"/>
      <c r="P2196" s="899"/>
      <c r="Q2196" s="573"/>
      <c r="R2196" s="573"/>
      <c r="S2196" s="573"/>
      <c r="T2196" s="573"/>
      <c r="U2196" s="573"/>
      <c r="V2196" s="573"/>
      <c r="W2196" s="573"/>
      <c r="X2196" s="573"/>
      <c r="Y2196" s="573"/>
      <c r="Z2196" s="573"/>
    </row>
    <row r="2197" spans="1:26" ht="18.75">
      <c r="A2197" s="677"/>
      <c r="B2197" s="677"/>
      <c r="C2197" s="677"/>
      <c r="D2197" s="896"/>
      <c r="E2197" s="677"/>
      <c r="F2197" s="677"/>
      <c r="G2197" s="677"/>
      <c r="H2197" s="897"/>
      <c r="I2197" s="898"/>
      <c r="J2197" s="898"/>
      <c r="K2197" s="899"/>
      <c r="L2197" s="899"/>
      <c r="M2197" s="899"/>
      <c r="N2197" s="899"/>
      <c r="O2197" s="899"/>
      <c r="P2197" s="899"/>
      <c r="Q2197" s="573"/>
      <c r="R2197" s="573"/>
      <c r="S2197" s="573"/>
      <c r="T2197" s="573"/>
      <c r="U2197" s="573"/>
      <c r="V2197" s="573"/>
      <c r="W2197" s="573"/>
      <c r="X2197" s="573"/>
      <c r="Y2197" s="573"/>
      <c r="Z2197" s="573"/>
    </row>
    <row r="2198" spans="1:26" ht="18.75">
      <c r="A2198" s="677"/>
      <c r="B2198" s="677"/>
      <c r="C2198" s="677"/>
      <c r="D2198" s="896"/>
      <c r="E2198" s="677"/>
      <c r="F2198" s="677"/>
      <c r="G2198" s="677"/>
      <c r="H2198" s="897"/>
      <c r="I2198" s="898"/>
      <c r="J2198" s="898"/>
      <c r="K2198" s="899"/>
      <c r="L2198" s="899"/>
      <c r="M2198" s="899"/>
      <c r="N2198" s="899"/>
      <c r="O2198" s="899"/>
      <c r="P2198" s="899"/>
      <c r="Q2198" s="573"/>
      <c r="R2198" s="573"/>
      <c r="S2198" s="573"/>
      <c r="T2198" s="573"/>
      <c r="U2198" s="573"/>
      <c r="V2198" s="573"/>
      <c r="W2198" s="573"/>
      <c r="X2198" s="573"/>
      <c r="Y2198" s="573"/>
      <c r="Z2198" s="573"/>
    </row>
    <row r="2199" spans="1:26" ht="18.75">
      <c r="A2199" s="677"/>
      <c r="B2199" s="677"/>
      <c r="C2199" s="677"/>
      <c r="D2199" s="896"/>
      <c r="E2199" s="677"/>
      <c r="F2199" s="677"/>
      <c r="G2199" s="677"/>
      <c r="H2199" s="897"/>
      <c r="I2199" s="898"/>
      <c r="J2199" s="898"/>
      <c r="K2199" s="899"/>
      <c r="L2199" s="899"/>
      <c r="M2199" s="899"/>
      <c r="N2199" s="899"/>
      <c r="O2199" s="899"/>
      <c r="P2199" s="899"/>
      <c r="Q2199" s="573"/>
      <c r="R2199" s="573"/>
      <c r="S2199" s="573"/>
      <c r="T2199" s="573"/>
      <c r="U2199" s="573"/>
      <c r="V2199" s="573"/>
      <c r="W2199" s="573"/>
      <c r="X2199" s="573"/>
      <c r="Y2199" s="573"/>
      <c r="Z2199" s="573"/>
    </row>
    <row r="2200" spans="1:26" ht="18.75">
      <c r="A2200" s="677"/>
      <c r="B2200" s="677"/>
      <c r="C2200" s="677"/>
      <c r="D2200" s="896"/>
      <c r="E2200" s="677"/>
      <c r="F2200" s="677"/>
      <c r="G2200" s="677"/>
      <c r="H2200" s="897"/>
      <c r="I2200" s="898"/>
      <c r="J2200" s="898"/>
      <c r="K2200" s="899"/>
      <c r="L2200" s="899"/>
      <c r="M2200" s="899"/>
      <c r="N2200" s="899"/>
      <c r="O2200" s="899"/>
      <c r="P2200" s="899"/>
      <c r="Q2200" s="573"/>
      <c r="R2200" s="573"/>
      <c r="S2200" s="573"/>
      <c r="T2200" s="573"/>
      <c r="U2200" s="573"/>
      <c r="V2200" s="573"/>
      <c r="W2200" s="573"/>
      <c r="X2200" s="573"/>
      <c r="Y2200" s="573"/>
      <c r="Z2200" s="573"/>
    </row>
    <row r="2201" spans="1:26" ht="18.75">
      <c r="A2201" s="677"/>
      <c r="B2201" s="677"/>
      <c r="C2201" s="677"/>
      <c r="D2201" s="896"/>
      <c r="E2201" s="677"/>
      <c r="F2201" s="677"/>
      <c r="G2201" s="677"/>
      <c r="H2201" s="897"/>
      <c r="I2201" s="898"/>
      <c r="J2201" s="898"/>
      <c r="K2201" s="899"/>
      <c r="L2201" s="899"/>
      <c r="M2201" s="899"/>
      <c r="N2201" s="899"/>
      <c r="O2201" s="899"/>
      <c r="P2201" s="899"/>
      <c r="Q2201" s="573"/>
      <c r="R2201" s="573"/>
      <c r="S2201" s="573"/>
      <c r="T2201" s="573"/>
      <c r="U2201" s="573"/>
      <c r="V2201" s="573"/>
      <c r="W2201" s="573"/>
      <c r="X2201" s="573"/>
      <c r="Y2201" s="573"/>
      <c r="Z2201" s="573"/>
    </row>
    <row r="2202" spans="1:26" ht="18.75">
      <c r="A2202" s="677"/>
      <c r="B2202" s="677"/>
      <c r="C2202" s="677"/>
      <c r="D2202" s="896"/>
      <c r="E2202" s="677"/>
      <c r="F2202" s="677"/>
      <c r="G2202" s="677"/>
      <c r="H2202" s="897"/>
      <c r="I2202" s="898"/>
      <c r="J2202" s="898"/>
      <c r="K2202" s="899"/>
      <c r="L2202" s="899"/>
      <c r="M2202" s="899"/>
      <c r="N2202" s="899"/>
      <c r="O2202" s="899"/>
      <c r="P2202" s="899"/>
      <c r="Q2202" s="573"/>
      <c r="R2202" s="573"/>
      <c r="S2202" s="573"/>
      <c r="T2202" s="573"/>
      <c r="U2202" s="573"/>
      <c r="V2202" s="573"/>
      <c r="W2202" s="573"/>
      <c r="X2202" s="573"/>
      <c r="Y2202" s="573"/>
      <c r="Z2202" s="573"/>
    </row>
    <row r="2203" spans="1:26" ht="18.75">
      <c r="A2203" s="677"/>
      <c r="B2203" s="677"/>
      <c r="C2203" s="677"/>
      <c r="D2203" s="896"/>
      <c r="E2203" s="677"/>
      <c r="F2203" s="677"/>
      <c r="G2203" s="677"/>
      <c r="H2203" s="897"/>
      <c r="I2203" s="898"/>
      <c r="J2203" s="898"/>
      <c r="K2203" s="899"/>
      <c r="L2203" s="899"/>
      <c r="M2203" s="899"/>
      <c r="N2203" s="899"/>
      <c r="O2203" s="899"/>
      <c r="P2203" s="899"/>
      <c r="Q2203" s="573"/>
      <c r="R2203" s="573"/>
      <c r="S2203" s="573"/>
      <c r="T2203" s="573"/>
      <c r="U2203" s="573"/>
      <c r="V2203" s="573"/>
      <c r="W2203" s="573"/>
      <c r="X2203" s="573"/>
      <c r="Y2203" s="573"/>
      <c r="Z2203" s="573"/>
    </row>
    <row r="2204" spans="1:26" ht="18.75">
      <c r="A2204" s="677"/>
      <c r="B2204" s="677"/>
      <c r="C2204" s="677"/>
      <c r="D2204" s="896"/>
      <c r="E2204" s="677"/>
      <c r="F2204" s="677"/>
      <c r="G2204" s="677"/>
      <c r="H2204" s="897"/>
      <c r="I2204" s="898"/>
      <c r="J2204" s="898"/>
      <c r="K2204" s="899"/>
      <c r="L2204" s="899"/>
      <c r="M2204" s="899"/>
      <c r="N2204" s="899"/>
      <c r="O2204" s="899"/>
      <c r="P2204" s="899"/>
      <c r="Q2204" s="573"/>
      <c r="R2204" s="573"/>
      <c r="S2204" s="573"/>
      <c r="T2204" s="573"/>
      <c r="U2204" s="573"/>
      <c r="V2204" s="573"/>
      <c r="W2204" s="573"/>
      <c r="X2204" s="573"/>
      <c r="Y2204" s="573"/>
      <c r="Z2204" s="573"/>
    </row>
    <row r="2205" spans="1:26" ht="18.75">
      <c r="A2205" s="677"/>
      <c r="B2205" s="677"/>
      <c r="C2205" s="677"/>
      <c r="D2205" s="896"/>
      <c r="E2205" s="677"/>
      <c r="F2205" s="677"/>
      <c r="G2205" s="677"/>
      <c r="H2205" s="897"/>
      <c r="I2205" s="898"/>
      <c r="J2205" s="898"/>
      <c r="K2205" s="899"/>
      <c r="L2205" s="899"/>
      <c r="M2205" s="899"/>
      <c r="N2205" s="899"/>
      <c r="O2205" s="899"/>
      <c r="P2205" s="899"/>
      <c r="Q2205" s="573"/>
      <c r="R2205" s="573"/>
      <c r="S2205" s="573"/>
      <c r="T2205" s="573"/>
      <c r="U2205" s="573"/>
      <c r="V2205" s="573"/>
      <c r="W2205" s="573"/>
      <c r="X2205" s="573"/>
      <c r="Y2205" s="573"/>
      <c r="Z2205" s="573"/>
    </row>
    <row r="2206" spans="1:26" ht="18.75">
      <c r="A2206" s="677"/>
      <c r="B2206" s="677"/>
      <c r="C2206" s="677"/>
      <c r="D2206" s="896"/>
      <c r="E2206" s="677"/>
      <c r="F2206" s="677"/>
      <c r="G2206" s="677"/>
      <c r="H2206" s="897"/>
      <c r="I2206" s="898"/>
      <c r="J2206" s="898"/>
      <c r="K2206" s="899"/>
      <c r="L2206" s="899"/>
      <c r="M2206" s="899"/>
      <c r="N2206" s="899"/>
      <c r="O2206" s="899"/>
      <c r="P2206" s="899"/>
      <c r="Q2206" s="573"/>
      <c r="R2206" s="573"/>
      <c r="S2206" s="573"/>
      <c r="T2206" s="573"/>
      <c r="U2206" s="573"/>
      <c r="V2206" s="573"/>
      <c r="W2206" s="573"/>
      <c r="X2206" s="573"/>
      <c r="Y2206" s="573"/>
      <c r="Z2206" s="573"/>
    </row>
    <row r="2207" spans="1:26" ht="18.75">
      <c r="A2207" s="677"/>
      <c r="B2207" s="677"/>
      <c r="C2207" s="677"/>
      <c r="D2207" s="896"/>
      <c r="E2207" s="677"/>
      <c r="F2207" s="677"/>
      <c r="G2207" s="677"/>
      <c r="H2207" s="897"/>
      <c r="I2207" s="898"/>
      <c r="J2207" s="898"/>
      <c r="K2207" s="899"/>
      <c r="L2207" s="899"/>
      <c r="M2207" s="899"/>
      <c r="N2207" s="899"/>
      <c r="O2207" s="899"/>
      <c r="P2207" s="899"/>
      <c r="Q2207" s="573"/>
      <c r="R2207" s="573"/>
      <c r="S2207" s="573"/>
      <c r="T2207" s="573"/>
      <c r="U2207" s="573"/>
      <c r="V2207" s="573"/>
      <c r="W2207" s="573"/>
      <c r="X2207" s="573"/>
      <c r="Y2207" s="573"/>
      <c r="Z2207" s="573"/>
    </row>
    <row r="2208" spans="1:26" ht="18.75">
      <c r="A2208" s="677"/>
      <c r="B2208" s="677"/>
      <c r="C2208" s="677"/>
      <c r="D2208" s="896"/>
      <c r="E2208" s="677"/>
      <c r="F2208" s="677"/>
      <c r="G2208" s="677"/>
      <c r="H2208" s="897"/>
      <c r="I2208" s="898"/>
      <c r="J2208" s="898"/>
      <c r="K2208" s="899"/>
      <c r="L2208" s="899"/>
      <c r="M2208" s="899"/>
      <c r="N2208" s="899"/>
      <c r="O2208" s="899"/>
      <c r="P2208" s="899"/>
      <c r="Q2208" s="573"/>
      <c r="R2208" s="573"/>
      <c r="S2208" s="573"/>
      <c r="T2208" s="573"/>
      <c r="U2208" s="573"/>
      <c r="V2208" s="573"/>
      <c r="W2208" s="573"/>
      <c r="X2208" s="573"/>
      <c r="Y2208" s="573"/>
      <c r="Z2208" s="573"/>
    </row>
    <row r="2209" spans="1:26" ht="18.75">
      <c r="A2209" s="677"/>
      <c r="B2209" s="677"/>
      <c r="C2209" s="677"/>
      <c r="D2209" s="896"/>
      <c r="E2209" s="677"/>
      <c r="F2209" s="677"/>
      <c r="G2209" s="677"/>
      <c r="H2209" s="897"/>
      <c r="I2209" s="898"/>
      <c r="J2209" s="898"/>
      <c r="K2209" s="899"/>
      <c r="L2209" s="899"/>
      <c r="M2209" s="899"/>
      <c r="N2209" s="899"/>
      <c r="O2209" s="899"/>
      <c r="P2209" s="899"/>
      <c r="Q2209" s="573"/>
      <c r="R2209" s="573"/>
      <c r="S2209" s="573"/>
      <c r="T2209" s="573"/>
      <c r="U2209" s="573"/>
      <c r="V2209" s="573"/>
      <c r="W2209" s="573"/>
      <c r="X2209" s="573"/>
      <c r="Y2209" s="573"/>
      <c r="Z2209" s="573"/>
    </row>
    <row r="2210" spans="1:26" ht="18.75">
      <c r="A2210" s="677"/>
      <c r="B2210" s="677"/>
      <c r="C2210" s="677"/>
      <c r="D2210" s="896"/>
      <c r="E2210" s="677"/>
      <c r="F2210" s="677"/>
      <c r="G2210" s="677"/>
      <c r="H2210" s="897"/>
      <c r="I2210" s="898"/>
      <c r="J2210" s="898"/>
      <c r="K2210" s="899"/>
      <c r="L2210" s="899"/>
      <c r="M2210" s="899"/>
      <c r="N2210" s="899"/>
      <c r="O2210" s="899"/>
      <c r="P2210" s="899"/>
      <c r="Q2210" s="573"/>
      <c r="R2210" s="573"/>
      <c r="S2210" s="573"/>
      <c r="T2210" s="573"/>
      <c r="U2210" s="573"/>
      <c r="V2210" s="573"/>
      <c r="W2210" s="573"/>
      <c r="X2210" s="573"/>
      <c r="Y2210" s="573"/>
      <c r="Z2210" s="573"/>
    </row>
    <row r="2211" spans="1:26" ht="18.75">
      <c r="A2211" s="677"/>
      <c r="B2211" s="677"/>
      <c r="C2211" s="677"/>
      <c r="D2211" s="896"/>
      <c r="E2211" s="677"/>
      <c r="F2211" s="677"/>
      <c r="G2211" s="677"/>
      <c r="H2211" s="897"/>
      <c r="I2211" s="898"/>
      <c r="J2211" s="898"/>
      <c r="K2211" s="899"/>
      <c r="L2211" s="899"/>
      <c r="M2211" s="899"/>
      <c r="N2211" s="899"/>
      <c r="O2211" s="899"/>
      <c r="P2211" s="899"/>
      <c r="Q2211" s="573"/>
      <c r="R2211" s="573"/>
      <c r="S2211" s="573"/>
      <c r="T2211" s="573"/>
      <c r="U2211" s="573"/>
      <c r="V2211" s="573"/>
      <c r="W2211" s="573"/>
      <c r="X2211" s="573"/>
      <c r="Y2211" s="573"/>
      <c r="Z2211" s="573"/>
    </row>
    <row r="2212" spans="1:26" ht="18.75">
      <c r="A2212" s="677"/>
      <c r="B2212" s="677"/>
      <c r="C2212" s="677"/>
      <c r="D2212" s="896"/>
      <c r="E2212" s="677"/>
      <c r="F2212" s="677"/>
      <c r="G2212" s="677"/>
      <c r="H2212" s="897"/>
      <c r="I2212" s="898"/>
      <c r="J2212" s="898"/>
      <c r="K2212" s="899"/>
      <c r="L2212" s="899"/>
      <c r="M2212" s="899"/>
      <c r="N2212" s="899"/>
      <c r="O2212" s="899"/>
      <c r="P2212" s="899"/>
      <c r="Q2212" s="573"/>
      <c r="R2212" s="573"/>
      <c r="S2212" s="573"/>
      <c r="T2212" s="573"/>
      <c r="U2212" s="573"/>
      <c r="V2212" s="573"/>
      <c r="W2212" s="573"/>
      <c r="X2212" s="573"/>
      <c r="Y2212" s="573"/>
      <c r="Z2212" s="573"/>
    </row>
    <row r="2213" spans="1:26" ht="18.75">
      <c r="A2213" s="677"/>
      <c r="B2213" s="677"/>
      <c r="C2213" s="677"/>
      <c r="D2213" s="896"/>
      <c r="E2213" s="677"/>
      <c r="F2213" s="677"/>
      <c r="G2213" s="677"/>
      <c r="H2213" s="897"/>
      <c r="I2213" s="898"/>
      <c r="J2213" s="898"/>
      <c r="K2213" s="899"/>
      <c r="L2213" s="899"/>
      <c r="M2213" s="899"/>
      <c r="N2213" s="899"/>
      <c r="O2213" s="899"/>
      <c r="P2213" s="899"/>
      <c r="Q2213" s="573"/>
      <c r="R2213" s="573"/>
      <c r="S2213" s="573"/>
      <c r="T2213" s="573"/>
      <c r="U2213" s="573"/>
      <c r="V2213" s="573"/>
      <c r="W2213" s="573"/>
      <c r="X2213" s="573"/>
      <c r="Y2213" s="573"/>
      <c r="Z2213" s="573"/>
    </row>
    <row r="2214" spans="1:26" ht="18.75">
      <c r="A2214" s="677"/>
      <c r="B2214" s="677"/>
      <c r="C2214" s="677"/>
      <c r="D2214" s="896"/>
      <c r="E2214" s="677"/>
      <c r="F2214" s="677"/>
      <c r="G2214" s="677"/>
      <c r="H2214" s="897"/>
      <c r="I2214" s="898"/>
      <c r="J2214" s="898"/>
      <c r="K2214" s="899"/>
      <c r="L2214" s="899"/>
      <c r="M2214" s="899"/>
      <c r="N2214" s="899"/>
      <c r="O2214" s="899"/>
      <c r="P2214" s="899"/>
      <c r="Q2214" s="573"/>
      <c r="R2214" s="573"/>
      <c r="S2214" s="573"/>
      <c r="T2214" s="573"/>
      <c r="U2214" s="573"/>
      <c r="V2214" s="573"/>
      <c r="W2214" s="573"/>
      <c r="X2214" s="573"/>
      <c r="Y2214" s="573"/>
      <c r="Z2214" s="573"/>
    </row>
    <row r="2215" spans="1:26" ht="18.75">
      <c r="A2215" s="677"/>
      <c r="B2215" s="677"/>
      <c r="C2215" s="677"/>
      <c r="D2215" s="896"/>
      <c r="E2215" s="677"/>
      <c r="F2215" s="677"/>
      <c r="G2215" s="677"/>
      <c r="H2215" s="897"/>
      <c r="I2215" s="898"/>
      <c r="J2215" s="898"/>
      <c r="K2215" s="899"/>
      <c r="L2215" s="899"/>
      <c r="M2215" s="899"/>
      <c r="N2215" s="899"/>
      <c r="O2215" s="899"/>
      <c r="P2215" s="899"/>
      <c r="Q2215" s="573"/>
      <c r="R2215" s="573"/>
      <c r="S2215" s="573"/>
      <c r="T2215" s="573"/>
      <c r="U2215" s="573"/>
      <c r="V2215" s="573"/>
      <c r="W2215" s="573"/>
      <c r="X2215" s="573"/>
      <c r="Y2215" s="573"/>
      <c r="Z2215" s="573"/>
    </row>
    <row r="2216" spans="1:26" ht="18.75">
      <c r="A2216" s="677"/>
      <c r="B2216" s="677"/>
      <c r="C2216" s="677"/>
      <c r="D2216" s="896"/>
      <c r="E2216" s="677"/>
      <c r="F2216" s="677"/>
      <c r="G2216" s="677"/>
      <c r="H2216" s="897"/>
      <c r="I2216" s="898"/>
      <c r="J2216" s="898"/>
      <c r="K2216" s="899"/>
      <c r="L2216" s="899"/>
      <c r="M2216" s="899"/>
      <c r="N2216" s="899"/>
      <c r="O2216" s="899"/>
      <c r="P2216" s="899"/>
      <c r="Q2216" s="573"/>
      <c r="R2216" s="573"/>
      <c r="S2216" s="573"/>
      <c r="T2216" s="573"/>
      <c r="U2216" s="573"/>
      <c r="V2216" s="573"/>
      <c r="W2216" s="573"/>
      <c r="X2216" s="573"/>
      <c r="Y2216" s="573"/>
      <c r="Z2216" s="573"/>
    </row>
    <row r="2217" spans="1:26" ht="18.75">
      <c r="A2217" s="677"/>
      <c r="B2217" s="677"/>
      <c r="C2217" s="677"/>
      <c r="D2217" s="896"/>
      <c r="E2217" s="677"/>
      <c r="F2217" s="677"/>
      <c r="G2217" s="677"/>
      <c r="H2217" s="897"/>
      <c r="I2217" s="898"/>
      <c r="J2217" s="898"/>
      <c r="K2217" s="899"/>
      <c r="L2217" s="899"/>
      <c r="M2217" s="899"/>
      <c r="N2217" s="899"/>
      <c r="O2217" s="899"/>
      <c r="P2217" s="899"/>
      <c r="Q2217" s="573"/>
      <c r="R2217" s="573"/>
      <c r="S2217" s="573"/>
      <c r="T2217" s="573"/>
      <c r="U2217" s="573"/>
      <c r="V2217" s="573"/>
      <c r="W2217" s="573"/>
      <c r="X2217" s="573"/>
      <c r="Y2217" s="573"/>
      <c r="Z2217" s="573"/>
    </row>
    <row r="2218" spans="1:26" ht="18.75">
      <c r="A2218" s="677"/>
      <c r="B2218" s="677"/>
      <c r="C2218" s="677"/>
      <c r="D2218" s="896"/>
      <c r="E2218" s="677"/>
      <c r="F2218" s="677"/>
      <c r="G2218" s="677"/>
      <c r="H2218" s="897"/>
      <c r="I2218" s="898"/>
      <c r="J2218" s="898"/>
      <c r="K2218" s="899"/>
      <c r="L2218" s="899"/>
      <c r="M2218" s="899"/>
      <c r="N2218" s="899"/>
      <c r="O2218" s="899"/>
      <c r="P2218" s="899"/>
      <c r="Q2218" s="573"/>
      <c r="R2218" s="573"/>
      <c r="S2218" s="573"/>
      <c r="T2218" s="573"/>
      <c r="U2218" s="573"/>
      <c r="V2218" s="573"/>
      <c r="W2218" s="573"/>
      <c r="X2218" s="573"/>
      <c r="Y2218" s="573"/>
      <c r="Z2218" s="573"/>
    </row>
    <row r="2219" spans="1:26" ht="18.75">
      <c r="A2219" s="677"/>
      <c r="B2219" s="677"/>
      <c r="C2219" s="677"/>
      <c r="D2219" s="896"/>
      <c r="E2219" s="677"/>
      <c r="F2219" s="677"/>
      <c r="G2219" s="677"/>
      <c r="H2219" s="897"/>
      <c r="I2219" s="898"/>
      <c r="J2219" s="898"/>
      <c r="K2219" s="899"/>
      <c r="L2219" s="899"/>
      <c r="M2219" s="899"/>
      <c r="N2219" s="899"/>
      <c r="O2219" s="899"/>
      <c r="P2219" s="899"/>
      <c r="Q2219" s="573"/>
      <c r="R2219" s="573"/>
      <c r="S2219" s="573"/>
      <c r="T2219" s="573"/>
      <c r="U2219" s="573"/>
      <c r="V2219" s="573"/>
      <c r="W2219" s="573"/>
      <c r="X2219" s="573"/>
      <c r="Y2219" s="573"/>
      <c r="Z2219" s="573"/>
    </row>
    <row r="2220" spans="1:26" ht="18.75">
      <c r="A2220" s="677"/>
      <c r="B2220" s="677"/>
      <c r="C2220" s="677"/>
      <c r="D2220" s="896"/>
      <c r="E2220" s="677"/>
      <c r="F2220" s="677"/>
      <c r="G2220" s="677"/>
      <c r="H2220" s="897"/>
      <c r="I2220" s="898"/>
      <c r="J2220" s="898"/>
      <c r="K2220" s="899"/>
      <c r="L2220" s="899"/>
      <c r="M2220" s="899"/>
      <c r="N2220" s="899"/>
      <c r="O2220" s="899"/>
      <c r="P2220" s="899"/>
      <c r="Q2220" s="573"/>
      <c r="R2220" s="573"/>
      <c r="S2220" s="573"/>
      <c r="T2220" s="573"/>
      <c r="U2220" s="573"/>
      <c r="V2220" s="573"/>
      <c r="W2220" s="573"/>
      <c r="X2220" s="573"/>
      <c r="Y2220" s="573"/>
      <c r="Z2220" s="573"/>
    </row>
    <row r="2221" spans="1:26" ht="18.75">
      <c r="A2221" s="677"/>
      <c r="B2221" s="677"/>
      <c r="C2221" s="677"/>
      <c r="D2221" s="896"/>
      <c r="E2221" s="677"/>
      <c r="F2221" s="677"/>
      <c r="G2221" s="677"/>
      <c r="H2221" s="897"/>
      <c r="I2221" s="898"/>
      <c r="J2221" s="898"/>
      <c r="K2221" s="899"/>
      <c r="L2221" s="899"/>
      <c r="M2221" s="899"/>
      <c r="N2221" s="899"/>
      <c r="O2221" s="899"/>
      <c r="P2221" s="899"/>
      <c r="Q2221" s="573"/>
      <c r="R2221" s="573"/>
      <c r="S2221" s="573"/>
      <c r="T2221" s="573"/>
      <c r="U2221" s="573"/>
      <c r="V2221" s="573"/>
      <c r="W2221" s="573"/>
      <c r="X2221" s="573"/>
      <c r="Y2221" s="573"/>
      <c r="Z2221" s="573"/>
    </row>
    <row r="2222" spans="1:26" ht="18.75">
      <c r="A2222" s="677"/>
      <c r="B2222" s="677"/>
      <c r="C2222" s="677"/>
      <c r="D2222" s="896"/>
      <c r="E2222" s="677"/>
      <c r="F2222" s="677"/>
      <c r="G2222" s="677"/>
      <c r="H2222" s="897"/>
      <c r="I2222" s="898"/>
      <c r="J2222" s="898"/>
      <c r="K2222" s="899"/>
      <c r="L2222" s="899"/>
      <c r="M2222" s="899"/>
      <c r="N2222" s="899"/>
      <c r="O2222" s="899"/>
      <c r="P2222" s="899"/>
      <c r="Q2222" s="573"/>
      <c r="R2222" s="573"/>
      <c r="S2222" s="573"/>
      <c r="T2222" s="573"/>
      <c r="U2222" s="573"/>
      <c r="V2222" s="573"/>
      <c r="W2222" s="573"/>
      <c r="X2222" s="573"/>
      <c r="Y2222" s="573"/>
      <c r="Z2222" s="573"/>
    </row>
    <row r="2223" spans="1:26" ht="18.75">
      <c r="A2223" s="677"/>
      <c r="B2223" s="677"/>
      <c r="C2223" s="677"/>
      <c r="D2223" s="896"/>
      <c r="E2223" s="677"/>
      <c r="F2223" s="677"/>
      <c r="G2223" s="677"/>
      <c r="H2223" s="897"/>
      <c r="I2223" s="898"/>
      <c r="J2223" s="898"/>
      <c r="K2223" s="899"/>
      <c r="L2223" s="899"/>
      <c r="M2223" s="899"/>
      <c r="N2223" s="899"/>
      <c r="O2223" s="899"/>
      <c r="P2223" s="899"/>
      <c r="Q2223" s="573"/>
      <c r="R2223" s="573"/>
      <c r="S2223" s="573"/>
      <c r="T2223" s="573"/>
      <c r="U2223" s="573"/>
      <c r="V2223" s="573"/>
      <c r="W2223" s="573"/>
      <c r="X2223" s="573"/>
      <c r="Y2223" s="573"/>
      <c r="Z2223" s="573"/>
    </row>
    <row r="2224" spans="1:26" ht="18.75">
      <c r="A2224" s="677"/>
      <c r="B2224" s="677"/>
      <c r="C2224" s="677"/>
      <c r="D2224" s="896"/>
      <c r="E2224" s="677"/>
      <c r="F2224" s="677"/>
      <c r="G2224" s="677"/>
      <c r="H2224" s="897"/>
      <c r="I2224" s="898"/>
      <c r="J2224" s="898"/>
      <c r="K2224" s="899"/>
      <c r="L2224" s="899"/>
      <c r="M2224" s="899"/>
      <c r="N2224" s="899"/>
      <c r="O2224" s="899"/>
      <c r="P2224" s="899"/>
      <c r="Q2224" s="573"/>
      <c r="R2224" s="573"/>
      <c r="S2224" s="573"/>
      <c r="T2224" s="573"/>
      <c r="U2224" s="573"/>
      <c r="V2224" s="573"/>
      <c r="W2224" s="573"/>
      <c r="X2224" s="573"/>
      <c r="Y2224" s="573"/>
      <c r="Z2224" s="573"/>
    </row>
    <row r="2225" spans="1:26" ht="18.75">
      <c r="A2225" s="677"/>
      <c r="B2225" s="677"/>
      <c r="C2225" s="677"/>
      <c r="D2225" s="896"/>
      <c r="E2225" s="677"/>
      <c r="F2225" s="677"/>
      <c r="G2225" s="677"/>
      <c r="H2225" s="897"/>
      <c r="I2225" s="898"/>
      <c r="J2225" s="898"/>
      <c r="K2225" s="899"/>
      <c r="L2225" s="899"/>
      <c r="M2225" s="899"/>
      <c r="N2225" s="899"/>
      <c r="O2225" s="899"/>
      <c r="P2225" s="899"/>
      <c r="Q2225" s="573"/>
      <c r="R2225" s="573"/>
      <c r="S2225" s="573"/>
      <c r="T2225" s="573"/>
      <c r="U2225" s="573"/>
      <c r="V2225" s="573"/>
      <c r="W2225" s="573"/>
      <c r="X2225" s="573"/>
      <c r="Y2225" s="573"/>
      <c r="Z2225" s="573"/>
    </row>
    <row r="2226" spans="1:26" ht="18.75">
      <c r="A2226" s="677"/>
      <c r="B2226" s="677"/>
      <c r="C2226" s="677"/>
      <c r="D2226" s="896"/>
      <c r="E2226" s="677"/>
      <c r="F2226" s="677"/>
      <c r="G2226" s="677"/>
      <c r="H2226" s="897"/>
      <c r="I2226" s="898"/>
      <c r="J2226" s="898"/>
      <c r="K2226" s="899"/>
      <c r="L2226" s="899"/>
      <c r="M2226" s="899"/>
      <c r="N2226" s="899"/>
      <c r="O2226" s="899"/>
      <c r="P2226" s="899"/>
      <c r="Q2226" s="573"/>
      <c r="R2226" s="573"/>
      <c r="S2226" s="573"/>
      <c r="T2226" s="573"/>
      <c r="U2226" s="573"/>
      <c r="V2226" s="573"/>
      <c r="W2226" s="573"/>
      <c r="X2226" s="573"/>
      <c r="Y2226" s="573"/>
      <c r="Z2226" s="573"/>
    </row>
    <row r="2227" spans="1:26" ht="18.75">
      <c r="A2227" s="677"/>
      <c r="B2227" s="677"/>
      <c r="C2227" s="677"/>
      <c r="D2227" s="896"/>
      <c r="E2227" s="677"/>
      <c r="F2227" s="677"/>
      <c r="G2227" s="677"/>
      <c r="H2227" s="897"/>
      <c r="I2227" s="898"/>
      <c r="J2227" s="898"/>
      <c r="K2227" s="899"/>
      <c r="L2227" s="899"/>
      <c r="M2227" s="899"/>
      <c r="N2227" s="899"/>
      <c r="O2227" s="899"/>
      <c r="P2227" s="899"/>
      <c r="Q2227" s="573"/>
      <c r="R2227" s="573"/>
      <c r="S2227" s="573"/>
      <c r="T2227" s="573"/>
      <c r="U2227" s="573"/>
      <c r="V2227" s="573"/>
      <c r="W2227" s="573"/>
      <c r="X2227" s="573"/>
      <c r="Y2227" s="573"/>
      <c r="Z2227" s="573"/>
    </row>
    <row r="2228" spans="1:26" ht="18.75">
      <c r="A2228" s="677"/>
      <c r="B2228" s="677"/>
      <c r="C2228" s="677"/>
      <c r="D2228" s="896"/>
      <c r="E2228" s="677"/>
      <c r="F2228" s="677"/>
      <c r="G2228" s="677"/>
      <c r="H2228" s="897"/>
      <c r="I2228" s="898"/>
      <c r="J2228" s="898"/>
      <c r="K2228" s="899"/>
      <c r="L2228" s="899"/>
      <c r="M2228" s="899"/>
      <c r="N2228" s="899"/>
      <c r="O2228" s="899"/>
      <c r="P2228" s="899"/>
      <c r="Q2228" s="573"/>
      <c r="R2228" s="573"/>
      <c r="S2228" s="573"/>
      <c r="T2228" s="573"/>
      <c r="U2228" s="573"/>
      <c r="V2228" s="573"/>
      <c r="W2228" s="573"/>
      <c r="X2228" s="573"/>
      <c r="Y2228" s="573"/>
      <c r="Z2228" s="573"/>
    </row>
    <row r="2229" spans="1:26" ht="18.75">
      <c r="A2229" s="677"/>
      <c r="B2229" s="677"/>
      <c r="C2229" s="677"/>
      <c r="D2229" s="896"/>
      <c r="E2229" s="677"/>
      <c r="F2229" s="677"/>
      <c r="G2229" s="677"/>
      <c r="H2229" s="897"/>
      <c r="I2229" s="898"/>
      <c r="J2229" s="898"/>
      <c r="K2229" s="899"/>
      <c r="L2229" s="899"/>
      <c r="M2229" s="899"/>
      <c r="N2229" s="899"/>
      <c r="O2229" s="899"/>
      <c r="P2229" s="899"/>
      <c r="Q2229" s="573"/>
      <c r="R2229" s="573"/>
      <c r="S2229" s="573"/>
      <c r="T2229" s="573"/>
      <c r="U2229" s="573"/>
      <c r="V2229" s="573"/>
      <c r="W2229" s="573"/>
      <c r="X2229" s="573"/>
      <c r="Y2229" s="573"/>
      <c r="Z2229" s="573"/>
    </row>
    <row r="2230" spans="1:26" ht="18.75">
      <c r="A2230" s="677"/>
      <c r="B2230" s="677"/>
      <c r="C2230" s="677"/>
      <c r="D2230" s="896"/>
      <c r="E2230" s="677"/>
      <c r="F2230" s="677"/>
      <c r="G2230" s="677"/>
      <c r="H2230" s="897"/>
      <c r="I2230" s="898"/>
      <c r="J2230" s="898"/>
      <c r="K2230" s="899"/>
      <c r="L2230" s="899"/>
      <c r="M2230" s="899"/>
      <c r="N2230" s="899"/>
      <c r="O2230" s="899"/>
      <c r="P2230" s="899"/>
      <c r="Q2230" s="573"/>
      <c r="R2230" s="573"/>
      <c r="S2230" s="573"/>
      <c r="T2230" s="573"/>
      <c r="U2230" s="573"/>
      <c r="V2230" s="573"/>
      <c r="W2230" s="573"/>
      <c r="X2230" s="573"/>
      <c r="Y2230" s="573"/>
      <c r="Z2230" s="573"/>
    </row>
    <row r="2231" spans="1:26" ht="18.75">
      <c r="A2231" s="677"/>
      <c r="B2231" s="677"/>
      <c r="C2231" s="677"/>
      <c r="D2231" s="896"/>
      <c r="E2231" s="677"/>
      <c r="F2231" s="677"/>
      <c r="G2231" s="677"/>
      <c r="H2231" s="897"/>
      <c r="I2231" s="898"/>
      <c r="J2231" s="898"/>
      <c r="K2231" s="899"/>
      <c r="L2231" s="899"/>
      <c r="M2231" s="899"/>
      <c r="N2231" s="899"/>
      <c r="O2231" s="899"/>
      <c r="P2231" s="899"/>
      <c r="Q2231" s="573"/>
      <c r="R2231" s="573"/>
      <c r="S2231" s="573"/>
      <c r="T2231" s="573"/>
      <c r="U2231" s="573"/>
      <c r="V2231" s="573"/>
      <c r="W2231" s="573"/>
      <c r="X2231" s="573"/>
      <c r="Y2231" s="573"/>
      <c r="Z2231" s="573"/>
    </row>
    <row r="2232" spans="1:26" ht="18.75">
      <c r="A2232" s="677"/>
      <c r="B2232" s="677"/>
      <c r="C2232" s="677"/>
      <c r="D2232" s="896"/>
      <c r="E2232" s="677"/>
      <c r="F2232" s="677"/>
      <c r="G2232" s="677"/>
      <c r="H2232" s="897"/>
      <c r="I2232" s="898"/>
      <c r="J2232" s="898"/>
      <c r="K2232" s="899"/>
      <c r="L2232" s="899"/>
      <c r="M2232" s="899"/>
      <c r="N2232" s="899"/>
      <c r="O2232" s="899"/>
      <c r="P2232" s="899"/>
      <c r="Q2232" s="573"/>
      <c r="R2232" s="573"/>
      <c r="S2232" s="573"/>
      <c r="T2232" s="573"/>
      <c r="U2232" s="573"/>
      <c r="V2232" s="573"/>
      <c r="W2232" s="573"/>
      <c r="X2232" s="573"/>
      <c r="Y2232" s="573"/>
      <c r="Z2232" s="573"/>
    </row>
    <row r="2233" spans="1:26" ht="18.75">
      <c r="A2233" s="677"/>
      <c r="B2233" s="677"/>
      <c r="C2233" s="677"/>
      <c r="D2233" s="896"/>
      <c r="E2233" s="677"/>
      <c r="F2233" s="677"/>
      <c r="G2233" s="677"/>
      <c r="H2233" s="897"/>
      <c r="I2233" s="898"/>
      <c r="J2233" s="898"/>
      <c r="K2233" s="899"/>
      <c r="L2233" s="899"/>
      <c r="M2233" s="899"/>
      <c r="N2233" s="899"/>
      <c r="O2233" s="899"/>
      <c r="P2233" s="899"/>
      <c r="Q2233" s="573"/>
      <c r="R2233" s="573"/>
      <c r="S2233" s="573"/>
      <c r="T2233" s="573"/>
      <c r="U2233" s="573"/>
      <c r="V2233" s="573"/>
      <c r="W2233" s="573"/>
      <c r="X2233" s="573"/>
      <c r="Y2233" s="573"/>
      <c r="Z2233" s="573"/>
    </row>
    <row r="2234" spans="1:26" ht="18.75">
      <c r="A2234" s="677"/>
      <c r="B2234" s="677"/>
      <c r="C2234" s="677"/>
      <c r="D2234" s="896"/>
      <c r="E2234" s="677"/>
      <c r="F2234" s="677"/>
      <c r="G2234" s="677"/>
      <c r="H2234" s="897"/>
      <c r="I2234" s="898"/>
      <c r="J2234" s="898"/>
      <c r="K2234" s="899"/>
      <c r="L2234" s="899"/>
      <c r="M2234" s="899"/>
      <c r="N2234" s="899"/>
      <c r="O2234" s="899"/>
      <c r="P2234" s="899"/>
      <c r="Q2234" s="573"/>
      <c r="R2234" s="573"/>
      <c r="S2234" s="573"/>
      <c r="T2234" s="573"/>
      <c r="U2234" s="573"/>
      <c r="V2234" s="573"/>
      <c r="W2234" s="573"/>
      <c r="X2234" s="573"/>
      <c r="Y2234" s="573"/>
      <c r="Z2234" s="573"/>
    </row>
    <row r="2235" spans="1:26" ht="18.75">
      <c r="A2235" s="677"/>
      <c r="B2235" s="677"/>
      <c r="C2235" s="677"/>
      <c r="D2235" s="896"/>
      <c r="E2235" s="677"/>
      <c r="F2235" s="677"/>
      <c r="G2235" s="677"/>
      <c r="H2235" s="897"/>
      <c r="I2235" s="898"/>
      <c r="J2235" s="898"/>
      <c r="K2235" s="899"/>
      <c r="L2235" s="899"/>
      <c r="M2235" s="899"/>
      <c r="N2235" s="899"/>
      <c r="O2235" s="899"/>
      <c r="P2235" s="899"/>
      <c r="Q2235" s="573"/>
      <c r="R2235" s="573"/>
      <c r="S2235" s="573"/>
      <c r="T2235" s="573"/>
      <c r="U2235" s="573"/>
      <c r="V2235" s="573"/>
      <c r="W2235" s="573"/>
      <c r="X2235" s="573"/>
      <c r="Y2235" s="573"/>
      <c r="Z2235" s="573"/>
    </row>
    <row r="2236" spans="1:26" ht="18.75">
      <c r="A2236" s="677"/>
      <c r="B2236" s="677"/>
      <c r="C2236" s="677"/>
      <c r="D2236" s="896"/>
      <c r="E2236" s="677"/>
      <c r="F2236" s="677"/>
      <c r="G2236" s="677"/>
      <c r="H2236" s="897"/>
      <c r="I2236" s="898"/>
      <c r="J2236" s="898"/>
      <c r="K2236" s="899"/>
      <c r="L2236" s="899"/>
      <c r="M2236" s="899"/>
      <c r="N2236" s="899"/>
      <c r="O2236" s="899"/>
      <c r="P2236" s="899"/>
      <c r="Q2236" s="573"/>
      <c r="R2236" s="573"/>
      <c r="S2236" s="573"/>
      <c r="T2236" s="573"/>
      <c r="U2236" s="573"/>
      <c r="V2236" s="573"/>
      <c r="W2236" s="573"/>
      <c r="X2236" s="573"/>
      <c r="Y2236" s="573"/>
      <c r="Z2236" s="573"/>
    </row>
    <row r="2237" spans="1:26" ht="18.75">
      <c r="A2237" s="677"/>
      <c r="B2237" s="677"/>
      <c r="C2237" s="677"/>
      <c r="D2237" s="896"/>
      <c r="E2237" s="677"/>
      <c r="F2237" s="677"/>
      <c r="G2237" s="677"/>
      <c r="H2237" s="897"/>
      <c r="I2237" s="898"/>
      <c r="J2237" s="898"/>
      <c r="K2237" s="899"/>
      <c r="L2237" s="899"/>
      <c r="M2237" s="899"/>
      <c r="N2237" s="899"/>
      <c r="O2237" s="899"/>
      <c r="P2237" s="899"/>
      <c r="Q2237" s="573"/>
      <c r="R2237" s="573"/>
      <c r="S2237" s="573"/>
      <c r="T2237" s="573"/>
      <c r="U2237" s="573"/>
      <c r="V2237" s="573"/>
      <c r="W2237" s="573"/>
      <c r="X2237" s="573"/>
      <c r="Y2237" s="573"/>
      <c r="Z2237" s="573"/>
    </row>
    <row r="2238" spans="1:26" ht="18.75">
      <c r="A2238" s="677"/>
      <c r="B2238" s="677"/>
      <c r="C2238" s="677"/>
      <c r="D2238" s="896"/>
      <c r="E2238" s="677"/>
      <c r="F2238" s="677"/>
      <c r="G2238" s="677"/>
      <c r="H2238" s="897"/>
      <c r="I2238" s="898"/>
      <c r="J2238" s="898"/>
      <c r="K2238" s="899"/>
      <c r="L2238" s="899"/>
      <c r="M2238" s="899"/>
      <c r="N2238" s="899"/>
      <c r="O2238" s="899"/>
      <c r="P2238" s="899"/>
      <c r="Q2238" s="573"/>
      <c r="R2238" s="573"/>
      <c r="S2238" s="573"/>
      <c r="T2238" s="573"/>
      <c r="U2238" s="573"/>
      <c r="V2238" s="573"/>
      <c r="W2238" s="573"/>
      <c r="X2238" s="573"/>
      <c r="Y2238" s="573"/>
      <c r="Z2238" s="573"/>
    </row>
    <row r="2239" spans="1:26" ht="18.75">
      <c r="A2239" s="677"/>
      <c r="B2239" s="677"/>
      <c r="C2239" s="677"/>
      <c r="D2239" s="896"/>
      <c r="E2239" s="677"/>
      <c r="F2239" s="677"/>
      <c r="G2239" s="677"/>
      <c r="H2239" s="897"/>
      <c r="I2239" s="898"/>
      <c r="J2239" s="898"/>
      <c r="K2239" s="899"/>
      <c r="L2239" s="899"/>
      <c r="M2239" s="899"/>
      <c r="N2239" s="899"/>
      <c r="O2239" s="899"/>
      <c r="P2239" s="899"/>
      <c r="Q2239" s="573"/>
      <c r="R2239" s="573"/>
      <c r="S2239" s="573"/>
      <c r="T2239" s="573"/>
      <c r="U2239" s="573"/>
      <c r="V2239" s="573"/>
      <c r="W2239" s="573"/>
      <c r="X2239" s="573"/>
      <c r="Y2239" s="573"/>
      <c r="Z2239" s="573"/>
    </row>
    <row r="2240" spans="1:26" ht="18.75">
      <c r="A2240" s="677"/>
      <c r="B2240" s="677"/>
      <c r="C2240" s="677"/>
      <c r="D2240" s="896"/>
      <c r="E2240" s="677"/>
      <c r="F2240" s="677"/>
      <c r="G2240" s="677"/>
      <c r="H2240" s="897"/>
      <c r="I2240" s="898"/>
      <c r="J2240" s="898"/>
      <c r="K2240" s="899"/>
      <c r="L2240" s="899"/>
      <c r="M2240" s="899"/>
      <c r="N2240" s="899"/>
      <c r="O2240" s="899"/>
      <c r="P2240" s="899"/>
      <c r="Q2240" s="573"/>
      <c r="R2240" s="573"/>
      <c r="S2240" s="573"/>
      <c r="T2240" s="573"/>
      <c r="U2240" s="573"/>
      <c r="V2240" s="573"/>
      <c r="W2240" s="573"/>
      <c r="X2240" s="573"/>
      <c r="Y2240" s="573"/>
      <c r="Z2240" s="573"/>
    </row>
    <row r="2241" spans="1:26" ht="18.75">
      <c r="A2241" s="677"/>
      <c r="B2241" s="677"/>
      <c r="C2241" s="677"/>
      <c r="D2241" s="896"/>
      <c r="E2241" s="677"/>
      <c r="F2241" s="677"/>
      <c r="G2241" s="677"/>
      <c r="H2241" s="897"/>
      <c r="I2241" s="898"/>
      <c r="J2241" s="898"/>
      <c r="K2241" s="899"/>
      <c r="L2241" s="899"/>
      <c r="M2241" s="899"/>
      <c r="N2241" s="899"/>
      <c r="O2241" s="899"/>
      <c r="P2241" s="899"/>
      <c r="Q2241" s="573"/>
      <c r="R2241" s="573"/>
      <c r="S2241" s="573"/>
      <c r="T2241" s="573"/>
      <c r="U2241" s="573"/>
      <c r="V2241" s="573"/>
      <c r="W2241" s="573"/>
      <c r="X2241" s="573"/>
      <c r="Y2241" s="573"/>
      <c r="Z2241" s="573"/>
    </row>
    <row r="2242" spans="1:26" ht="18.75">
      <c r="A2242" s="677"/>
      <c r="B2242" s="677"/>
      <c r="C2242" s="677"/>
      <c r="D2242" s="896"/>
      <c r="E2242" s="677"/>
      <c r="F2242" s="677"/>
      <c r="G2242" s="677"/>
      <c r="H2242" s="897"/>
      <c r="I2242" s="898"/>
      <c r="J2242" s="898"/>
      <c r="K2242" s="899"/>
      <c r="L2242" s="899"/>
      <c r="M2242" s="899"/>
      <c r="N2242" s="899"/>
      <c r="O2242" s="899"/>
      <c r="P2242" s="899"/>
      <c r="Q2242" s="573"/>
      <c r="R2242" s="573"/>
      <c r="S2242" s="573"/>
      <c r="T2242" s="573"/>
      <c r="U2242" s="573"/>
      <c r="V2242" s="573"/>
      <c r="W2242" s="573"/>
      <c r="X2242" s="573"/>
      <c r="Y2242" s="573"/>
      <c r="Z2242" s="573"/>
    </row>
    <row r="2243" spans="1:26" ht="18.75">
      <c r="A2243" s="677"/>
      <c r="B2243" s="677"/>
      <c r="C2243" s="677"/>
      <c r="D2243" s="896"/>
      <c r="E2243" s="677"/>
      <c r="F2243" s="677"/>
      <c r="G2243" s="677"/>
      <c r="H2243" s="897"/>
      <c r="I2243" s="898"/>
      <c r="J2243" s="898"/>
      <c r="K2243" s="899"/>
      <c r="L2243" s="899"/>
      <c r="M2243" s="899"/>
      <c r="N2243" s="899"/>
      <c r="O2243" s="899"/>
      <c r="P2243" s="899"/>
      <c r="Q2243" s="573"/>
      <c r="R2243" s="573"/>
      <c r="S2243" s="573"/>
      <c r="T2243" s="573"/>
      <c r="U2243" s="573"/>
      <c r="V2243" s="573"/>
      <c r="W2243" s="573"/>
      <c r="X2243" s="573"/>
      <c r="Y2243" s="573"/>
      <c r="Z2243" s="573"/>
    </row>
    <row r="2244" spans="1:26" ht="18.75">
      <c r="A2244" s="677"/>
      <c r="B2244" s="677"/>
      <c r="C2244" s="677"/>
      <c r="D2244" s="896"/>
      <c r="E2244" s="677"/>
      <c r="F2244" s="677"/>
      <c r="G2244" s="677"/>
      <c r="H2244" s="897"/>
      <c r="I2244" s="898"/>
      <c r="J2244" s="898"/>
      <c r="K2244" s="899"/>
      <c r="L2244" s="899"/>
      <c r="M2244" s="899"/>
      <c r="N2244" s="899"/>
      <c r="O2244" s="899"/>
      <c r="P2244" s="899"/>
      <c r="Q2244" s="573"/>
      <c r="R2244" s="573"/>
      <c r="S2244" s="573"/>
      <c r="T2244" s="573"/>
      <c r="U2244" s="573"/>
      <c r="V2244" s="573"/>
      <c r="W2244" s="573"/>
      <c r="X2244" s="573"/>
      <c r="Y2244" s="573"/>
      <c r="Z2244" s="573"/>
    </row>
    <row r="2245" spans="1:26" ht="18.75">
      <c r="A2245" s="677"/>
      <c r="B2245" s="677"/>
      <c r="C2245" s="677"/>
      <c r="D2245" s="896"/>
      <c r="E2245" s="677"/>
      <c r="F2245" s="677"/>
      <c r="G2245" s="677"/>
      <c r="H2245" s="897"/>
      <c r="I2245" s="898"/>
      <c r="J2245" s="898"/>
      <c r="K2245" s="899"/>
      <c r="L2245" s="899"/>
      <c r="M2245" s="899"/>
      <c r="N2245" s="899"/>
      <c r="O2245" s="899"/>
      <c r="P2245" s="899"/>
      <c r="Q2245" s="573"/>
      <c r="R2245" s="573"/>
      <c r="S2245" s="573"/>
      <c r="T2245" s="573"/>
      <c r="U2245" s="573"/>
      <c r="V2245" s="573"/>
      <c r="W2245" s="573"/>
      <c r="X2245" s="573"/>
      <c r="Y2245" s="573"/>
      <c r="Z2245" s="573"/>
    </row>
    <row r="2246" spans="1:26" ht="18.75">
      <c r="A2246" s="677"/>
      <c r="B2246" s="677"/>
      <c r="C2246" s="677"/>
      <c r="D2246" s="896"/>
      <c r="E2246" s="677"/>
      <c r="F2246" s="677"/>
      <c r="G2246" s="677"/>
      <c r="H2246" s="897"/>
      <c r="I2246" s="898"/>
      <c r="J2246" s="898"/>
      <c r="K2246" s="899"/>
      <c r="L2246" s="899"/>
      <c r="M2246" s="899"/>
      <c r="N2246" s="899"/>
      <c r="O2246" s="899"/>
      <c r="P2246" s="899"/>
      <c r="Q2246" s="573"/>
      <c r="R2246" s="573"/>
      <c r="S2246" s="573"/>
      <c r="T2246" s="573"/>
      <c r="U2246" s="573"/>
      <c r="V2246" s="573"/>
      <c r="W2246" s="573"/>
      <c r="X2246" s="573"/>
      <c r="Y2246" s="573"/>
      <c r="Z2246" s="573"/>
    </row>
    <row r="2247" spans="1:26" ht="18.75">
      <c r="A2247" s="677"/>
      <c r="B2247" s="677"/>
      <c r="C2247" s="677"/>
      <c r="D2247" s="896"/>
      <c r="E2247" s="677"/>
      <c r="F2247" s="677"/>
      <c r="G2247" s="677"/>
      <c r="H2247" s="897"/>
      <c r="I2247" s="898"/>
      <c r="J2247" s="898"/>
      <c r="K2247" s="899"/>
      <c r="L2247" s="899"/>
      <c r="M2247" s="899"/>
      <c r="N2247" s="899"/>
      <c r="O2247" s="899"/>
      <c r="P2247" s="899"/>
      <c r="Q2247" s="573"/>
      <c r="R2247" s="573"/>
      <c r="S2247" s="573"/>
      <c r="T2247" s="573"/>
      <c r="U2247" s="573"/>
      <c r="V2247" s="573"/>
      <c r="W2247" s="573"/>
      <c r="X2247" s="573"/>
      <c r="Y2247" s="573"/>
      <c r="Z2247" s="573"/>
    </row>
    <row r="2248" spans="1:26" ht="18.75">
      <c r="A2248" s="677"/>
      <c r="B2248" s="677"/>
      <c r="C2248" s="677"/>
      <c r="D2248" s="896"/>
      <c r="E2248" s="677"/>
      <c r="F2248" s="677"/>
      <c r="G2248" s="677"/>
      <c r="H2248" s="897"/>
      <c r="I2248" s="898"/>
      <c r="J2248" s="898"/>
      <c r="K2248" s="899"/>
      <c r="L2248" s="899"/>
      <c r="M2248" s="899"/>
      <c r="N2248" s="899"/>
      <c r="O2248" s="899"/>
      <c r="P2248" s="899"/>
      <c r="Q2248" s="573"/>
      <c r="R2248" s="573"/>
      <c r="S2248" s="573"/>
      <c r="T2248" s="573"/>
      <c r="U2248" s="573"/>
      <c r="V2248" s="573"/>
      <c r="W2248" s="573"/>
      <c r="X2248" s="573"/>
      <c r="Y2248" s="573"/>
      <c r="Z2248" s="573"/>
    </row>
    <row r="2249" spans="1:26" ht="18.75">
      <c r="A2249" s="677"/>
      <c r="B2249" s="677"/>
      <c r="C2249" s="677"/>
      <c r="D2249" s="896"/>
      <c r="E2249" s="677"/>
      <c r="F2249" s="677"/>
      <c r="G2249" s="677"/>
      <c r="H2249" s="897"/>
      <c r="I2249" s="898"/>
      <c r="J2249" s="898"/>
      <c r="K2249" s="899"/>
      <c r="L2249" s="899"/>
      <c r="M2249" s="899"/>
      <c r="N2249" s="899"/>
      <c r="O2249" s="899"/>
      <c r="P2249" s="899"/>
      <c r="Q2249" s="573"/>
      <c r="R2249" s="573"/>
      <c r="S2249" s="573"/>
      <c r="T2249" s="573"/>
      <c r="U2249" s="573"/>
      <c r="V2249" s="573"/>
      <c r="W2249" s="573"/>
      <c r="X2249" s="573"/>
      <c r="Y2249" s="573"/>
      <c r="Z2249" s="573"/>
    </row>
    <row r="2250" spans="1:26" ht="18.75">
      <c r="A2250" s="677"/>
      <c r="B2250" s="677"/>
      <c r="C2250" s="677"/>
      <c r="D2250" s="896"/>
      <c r="E2250" s="677"/>
      <c r="F2250" s="677"/>
      <c r="G2250" s="677"/>
      <c r="H2250" s="897"/>
      <c r="I2250" s="898"/>
      <c r="J2250" s="898"/>
      <c r="K2250" s="899"/>
      <c r="L2250" s="899"/>
      <c r="M2250" s="899"/>
      <c r="N2250" s="899"/>
      <c r="O2250" s="899"/>
      <c r="P2250" s="899"/>
      <c r="Q2250" s="573"/>
      <c r="R2250" s="573"/>
      <c r="S2250" s="573"/>
      <c r="T2250" s="573"/>
      <c r="U2250" s="573"/>
      <c r="V2250" s="573"/>
      <c r="W2250" s="573"/>
      <c r="X2250" s="573"/>
      <c r="Y2250" s="573"/>
      <c r="Z2250" s="573"/>
    </row>
    <row r="2251" spans="1:26" ht="18.75">
      <c r="A2251" s="677"/>
      <c r="B2251" s="677"/>
      <c r="C2251" s="677"/>
      <c r="D2251" s="896"/>
      <c r="E2251" s="677"/>
      <c r="F2251" s="677"/>
      <c r="G2251" s="677"/>
      <c r="H2251" s="897"/>
      <c r="I2251" s="898"/>
      <c r="J2251" s="898"/>
      <c r="K2251" s="899"/>
      <c r="L2251" s="899"/>
      <c r="M2251" s="899"/>
      <c r="N2251" s="899"/>
      <c r="O2251" s="899"/>
      <c r="P2251" s="899"/>
      <c r="Q2251" s="573"/>
      <c r="R2251" s="573"/>
      <c r="S2251" s="573"/>
      <c r="T2251" s="573"/>
      <c r="U2251" s="573"/>
      <c r="V2251" s="573"/>
      <c r="W2251" s="573"/>
      <c r="X2251" s="573"/>
      <c r="Y2251" s="573"/>
      <c r="Z2251" s="573"/>
    </row>
    <row r="2252" spans="1:26" ht="18.75">
      <c r="A2252" s="677"/>
      <c r="B2252" s="677"/>
      <c r="C2252" s="677"/>
      <c r="D2252" s="896"/>
      <c r="E2252" s="677"/>
      <c r="F2252" s="677"/>
      <c r="G2252" s="677"/>
      <c r="H2252" s="897"/>
      <c r="I2252" s="898"/>
      <c r="J2252" s="898"/>
      <c r="K2252" s="899"/>
      <c r="L2252" s="899"/>
      <c r="M2252" s="899"/>
      <c r="N2252" s="899"/>
      <c r="O2252" s="899"/>
      <c r="P2252" s="899"/>
      <c r="Q2252" s="573"/>
      <c r="R2252" s="573"/>
      <c r="S2252" s="573"/>
      <c r="T2252" s="573"/>
      <c r="U2252" s="573"/>
      <c r="V2252" s="573"/>
      <c r="W2252" s="573"/>
      <c r="X2252" s="573"/>
      <c r="Y2252" s="573"/>
      <c r="Z2252" s="573"/>
    </row>
    <row r="2253" spans="1:26" ht="18.75">
      <c r="A2253" s="677"/>
      <c r="B2253" s="677"/>
      <c r="C2253" s="677"/>
      <c r="D2253" s="896"/>
      <c r="E2253" s="677"/>
      <c r="F2253" s="677"/>
      <c r="G2253" s="677"/>
      <c r="H2253" s="897"/>
      <c r="I2253" s="898"/>
      <c r="J2253" s="898"/>
      <c r="K2253" s="899"/>
      <c r="L2253" s="899"/>
      <c r="M2253" s="899"/>
      <c r="N2253" s="899"/>
      <c r="O2253" s="899"/>
      <c r="P2253" s="899"/>
      <c r="Q2253" s="573"/>
      <c r="R2253" s="573"/>
      <c r="S2253" s="573"/>
      <c r="T2253" s="573"/>
      <c r="U2253" s="573"/>
      <c r="V2253" s="573"/>
      <c r="W2253" s="573"/>
      <c r="X2253" s="573"/>
      <c r="Y2253" s="573"/>
      <c r="Z2253" s="573"/>
    </row>
    <row r="2254" spans="1:26" ht="18.75">
      <c r="A2254" s="677"/>
      <c r="B2254" s="677"/>
      <c r="C2254" s="677"/>
      <c r="D2254" s="896"/>
      <c r="E2254" s="677"/>
      <c r="F2254" s="677"/>
      <c r="G2254" s="677"/>
      <c r="H2254" s="897"/>
      <c r="I2254" s="898"/>
      <c r="J2254" s="898"/>
      <c r="K2254" s="899"/>
      <c r="L2254" s="899"/>
      <c r="M2254" s="899"/>
      <c r="N2254" s="899"/>
      <c r="O2254" s="899"/>
      <c r="P2254" s="899"/>
      <c r="Q2254" s="573"/>
      <c r="R2254" s="573"/>
      <c r="S2254" s="573"/>
      <c r="T2254" s="573"/>
      <c r="U2254" s="573"/>
      <c r="V2254" s="573"/>
      <c r="W2254" s="573"/>
      <c r="X2254" s="573"/>
      <c r="Y2254" s="573"/>
      <c r="Z2254" s="573"/>
    </row>
    <row r="2255" spans="1:26" ht="18.75">
      <c r="A2255" s="677"/>
      <c r="B2255" s="677"/>
      <c r="C2255" s="677"/>
      <c r="D2255" s="896"/>
      <c r="E2255" s="677"/>
      <c r="F2255" s="677"/>
      <c r="G2255" s="677"/>
      <c r="H2255" s="897"/>
      <c r="I2255" s="898"/>
      <c r="J2255" s="898"/>
      <c r="K2255" s="899"/>
      <c r="L2255" s="899"/>
      <c r="M2255" s="899"/>
      <c r="N2255" s="899"/>
      <c r="O2255" s="899"/>
      <c r="P2255" s="899"/>
      <c r="Q2255" s="573"/>
      <c r="R2255" s="573"/>
      <c r="S2255" s="573"/>
      <c r="T2255" s="573"/>
      <c r="U2255" s="573"/>
      <c r="V2255" s="573"/>
      <c r="W2255" s="573"/>
      <c r="X2255" s="573"/>
      <c r="Y2255" s="573"/>
      <c r="Z2255" s="573"/>
    </row>
    <row r="2256" spans="1:26" ht="18.75">
      <c r="A2256" s="677"/>
      <c r="B2256" s="677"/>
      <c r="C2256" s="677"/>
      <c r="D2256" s="896"/>
      <c r="E2256" s="677"/>
      <c r="F2256" s="677"/>
      <c r="G2256" s="677"/>
      <c r="H2256" s="897"/>
      <c r="I2256" s="898"/>
      <c r="J2256" s="898"/>
      <c r="K2256" s="899"/>
      <c r="L2256" s="899"/>
      <c r="M2256" s="899"/>
      <c r="N2256" s="899"/>
      <c r="O2256" s="899"/>
      <c r="P2256" s="899"/>
      <c r="Q2256" s="573"/>
      <c r="R2256" s="573"/>
      <c r="S2256" s="573"/>
      <c r="T2256" s="573"/>
      <c r="U2256" s="573"/>
      <c r="V2256" s="573"/>
      <c r="W2256" s="573"/>
      <c r="X2256" s="573"/>
      <c r="Y2256" s="573"/>
      <c r="Z2256" s="573"/>
    </row>
    <row r="2257" spans="1:26" ht="18.75">
      <c r="A2257" s="677"/>
      <c r="B2257" s="677"/>
      <c r="C2257" s="677"/>
      <c r="D2257" s="896"/>
      <c r="E2257" s="677"/>
      <c r="F2257" s="677"/>
      <c r="G2257" s="677"/>
      <c r="H2257" s="897"/>
      <c r="I2257" s="898"/>
      <c r="J2257" s="898"/>
      <c r="K2257" s="899"/>
      <c r="L2257" s="899"/>
      <c r="M2257" s="899"/>
      <c r="N2257" s="899"/>
      <c r="O2257" s="899"/>
      <c r="P2257" s="899"/>
      <c r="Q2257" s="573"/>
      <c r="R2257" s="573"/>
      <c r="S2257" s="573"/>
      <c r="T2257" s="573"/>
      <c r="U2257" s="573"/>
      <c r="V2257" s="573"/>
      <c r="W2257" s="573"/>
      <c r="X2257" s="573"/>
      <c r="Y2257" s="573"/>
      <c r="Z2257" s="573"/>
    </row>
    <row r="2258" spans="1:26" ht="18.75">
      <c r="A2258" s="677"/>
      <c r="B2258" s="677"/>
      <c r="C2258" s="677"/>
      <c r="D2258" s="896"/>
      <c r="E2258" s="677"/>
      <c r="F2258" s="677"/>
      <c r="G2258" s="677"/>
      <c r="H2258" s="897"/>
      <c r="I2258" s="898"/>
      <c r="J2258" s="898"/>
      <c r="K2258" s="899"/>
      <c r="L2258" s="899"/>
      <c r="M2258" s="899"/>
      <c r="N2258" s="899"/>
      <c r="O2258" s="899"/>
      <c r="P2258" s="899"/>
      <c r="Q2258" s="573"/>
      <c r="R2258" s="573"/>
      <c r="S2258" s="573"/>
      <c r="T2258" s="573"/>
      <c r="U2258" s="573"/>
      <c r="V2258" s="573"/>
      <c r="W2258" s="573"/>
      <c r="X2258" s="573"/>
      <c r="Y2258" s="573"/>
      <c r="Z2258" s="573"/>
    </row>
    <row r="2259" spans="1:26" ht="18.75">
      <c r="A2259" s="677"/>
      <c r="B2259" s="677"/>
      <c r="C2259" s="677"/>
      <c r="D2259" s="896"/>
      <c r="E2259" s="677"/>
      <c r="F2259" s="677"/>
      <c r="G2259" s="677"/>
      <c r="H2259" s="897"/>
      <c r="I2259" s="898"/>
      <c r="J2259" s="898"/>
      <c r="K2259" s="899"/>
      <c r="L2259" s="899"/>
      <c r="M2259" s="899"/>
      <c r="N2259" s="899"/>
      <c r="O2259" s="899"/>
      <c r="P2259" s="899"/>
      <c r="Q2259" s="573"/>
      <c r="R2259" s="573"/>
      <c r="S2259" s="573"/>
      <c r="T2259" s="573"/>
      <c r="U2259" s="573"/>
      <c r="V2259" s="573"/>
      <c r="W2259" s="573"/>
      <c r="X2259" s="573"/>
      <c r="Y2259" s="573"/>
      <c r="Z2259" s="573"/>
    </row>
    <row r="2260" spans="1:26" ht="18.75">
      <c r="A2260" s="677"/>
      <c r="B2260" s="677"/>
      <c r="C2260" s="677"/>
      <c r="D2260" s="896"/>
      <c r="E2260" s="677"/>
      <c r="F2260" s="677"/>
      <c r="G2260" s="677"/>
      <c r="H2260" s="897"/>
      <c r="I2260" s="898"/>
      <c r="J2260" s="898"/>
      <c r="K2260" s="899"/>
      <c r="L2260" s="899"/>
      <c r="M2260" s="899"/>
      <c r="N2260" s="899"/>
      <c r="O2260" s="899"/>
      <c r="P2260" s="899"/>
      <c r="Q2260" s="573"/>
      <c r="R2260" s="573"/>
      <c r="S2260" s="573"/>
      <c r="T2260" s="573"/>
      <c r="U2260" s="573"/>
      <c r="V2260" s="573"/>
      <c r="W2260" s="573"/>
      <c r="X2260" s="573"/>
      <c r="Y2260" s="573"/>
      <c r="Z2260" s="573"/>
    </row>
    <row r="2261" spans="1:26" ht="18.75">
      <c r="A2261" s="677"/>
      <c r="B2261" s="677"/>
      <c r="C2261" s="677"/>
      <c r="D2261" s="896"/>
      <c r="E2261" s="677"/>
      <c r="F2261" s="677"/>
      <c r="G2261" s="677"/>
      <c r="H2261" s="897"/>
      <c r="I2261" s="898"/>
      <c r="J2261" s="898"/>
      <c r="K2261" s="899"/>
      <c r="L2261" s="899"/>
      <c r="M2261" s="899"/>
      <c r="N2261" s="899"/>
      <c r="O2261" s="899"/>
      <c r="P2261" s="899"/>
      <c r="Q2261" s="573"/>
      <c r="R2261" s="573"/>
      <c r="S2261" s="573"/>
      <c r="T2261" s="573"/>
      <c r="U2261" s="573"/>
      <c r="V2261" s="573"/>
      <c r="W2261" s="573"/>
      <c r="X2261" s="573"/>
      <c r="Y2261" s="573"/>
      <c r="Z2261" s="573"/>
    </row>
    <row r="2262" spans="1:26" ht="18.75">
      <c r="A2262" s="677"/>
      <c r="B2262" s="677"/>
      <c r="C2262" s="677"/>
      <c r="D2262" s="896"/>
      <c r="E2262" s="677"/>
      <c r="F2262" s="677"/>
      <c r="G2262" s="677"/>
      <c r="H2262" s="897"/>
      <c r="I2262" s="898"/>
      <c r="J2262" s="898"/>
      <c r="K2262" s="899"/>
      <c r="L2262" s="899"/>
      <c r="M2262" s="899"/>
      <c r="N2262" s="899"/>
      <c r="O2262" s="899"/>
      <c r="P2262" s="899"/>
      <c r="Q2262" s="573"/>
      <c r="R2262" s="573"/>
      <c r="S2262" s="573"/>
      <c r="T2262" s="573"/>
      <c r="U2262" s="573"/>
      <c r="V2262" s="573"/>
      <c r="W2262" s="573"/>
      <c r="X2262" s="573"/>
      <c r="Y2262" s="573"/>
      <c r="Z2262" s="573"/>
    </row>
    <row r="2263" spans="1:26" ht="18.75">
      <c r="A2263" s="677"/>
      <c r="B2263" s="677"/>
      <c r="C2263" s="677"/>
      <c r="D2263" s="896"/>
      <c r="E2263" s="677"/>
      <c r="F2263" s="677"/>
      <c r="G2263" s="677"/>
      <c r="H2263" s="897"/>
      <c r="I2263" s="898"/>
      <c r="J2263" s="898"/>
      <c r="K2263" s="899"/>
      <c r="L2263" s="899"/>
      <c r="M2263" s="899"/>
      <c r="N2263" s="899"/>
      <c r="O2263" s="899"/>
      <c r="P2263" s="899"/>
      <c r="Q2263" s="573"/>
      <c r="R2263" s="573"/>
      <c r="S2263" s="573"/>
      <c r="T2263" s="573"/>
      <c r="U2263" s="573"/>
      <c r="V2263" s="573"/>
      <c r="W2263" s="573"/>
      <c r="X2263" s="573"/>
      <c r="Y2263" s="573"/>
      <c r="Z2263" s="573"/>
    </row>
    <row r="2264" spans="1:26" ht="18.75">
      <c r="A2264" s="677"/>
      <c r="B2264" s="677"/>
      <c r="C2264" s="677"/>
      <c r="D2264" s="896"/>
      <c r="E2264" s="677"/>
      <c r="F2264" s="677"/>
      <c r="G2264" s="677"/>
      <c r="H2264" s="897"/>
      <c r="I2264" s="898"/>
      <c r="J2264" s="898"/>
      <c r="K2264" s="899"/>
      <c r="L2264" s="899"/>
      <c r="M2264" s="899"/>
      <c r="N2264" s="899"/>
      <c r="O2264" s="899"/>
      <c r="P2264" s="899"/>
      <c r="Q2264" s="573"/>
      <c r="R2264" s="573"/>
      <c r="S2264" s="573"/>
      <c r="T2264" s="573"/>
      <c r="U2264" s="573"/>
      <c r="V2264" s="573"/>
      <c r="W2264" s="573"/>
      <c r="X2264" s="573"/>
      <c r="Y2264" s="573"/>
      <c r="Z2264" s="573"/>
    </row>
    <row r="2265" spans="1:26" ht="18.75">
      <c r="A2265" s="677"/>
      <c r="B2265" s="677"/>
      <c r="C2265" s="677"/>
      <c r="D2265" s="896"/>
      <c r="E2265" s="677"/>
      <c r="F2265" s="677"/>
      <c r="G2265" s="677"/>
      <c r="H2265" s="897"/>
      <c r="I2265" s="898"/>
      <c r="J2265" s="898"/>
      <c r="K2265" s="899"/>
      <c r="L2265" s="899"/>
      <c r="M2265" s="899"/>
      <c r="N2265" s="899"/>
      <c r="O2265" s="899"/>
      <c r="P2265" s="899"/>
      <c r="Q2265" s="573"/>
      <c r="R2265" s="573"/>
      <c r="S2265" s="573"/>
      <c r="T2265" s="573"/>
      <c r="U2265" s="573"/>
      <c r="V2265" s="573"/>
      <c r="W2265" s="573"/>
      <c r="X2265" s="573"/>
      <c r="Y2265" s="573"/>
      <c r="Z2265" s="573"/>
    </row>
    <row r="2266" spans="1:26" ht="18.75">
      <c r="A2266" s="677"/>
      <c r="B2266" s="677"/>
      <c r="C2266" s="677"/>
      <c r="D2266" s="896"/>
      <c r="E2266" s="677"/>
      <c r="F2266" s="677"/>
      <c r="G2266" s="677"/>
      <c r="H2266" s="897"/>
      <c r="I2266" s="898"/>
      <c r="J2266" s="898"/>
      <c r="K2266" s="899"/>
      <c r="L2266" s="899"/>
      <c r="M2266" s="899"/>
      <c r="N2266" s="899"/>
      <c r="O2266" s="899"/>
      <c r="P2266" s="899"/>
      <c r="Q2266" s="573"/>
      <c r="R2266" s="573"/>
      <c r="S2266" s="573"/>
      <c r="T2266" s="573"/>
      <c r="U2266" s="573"/>
      <c r="V2266" s="573"/>
      <c r="W2266" s="573"/>
      <c r="X2266" s="573"/>
      <c r="Y2266" s="573"/>
      <c r="Z2266" s="573"/>
    </row>
    <row r="2267" spans="1:26" ht="18.75">
      <c r="A2267" s="677"/>
      <c r="B2267" s="677"/>
      <c r="C2267" s="677"/>
      <c r="D2267" s="896"/>
      <c r="E2267" s="677"/>
      <c r="F2267" s="677"/>
      <c r="G2267" s="677"/>
      <c r="H2267" s="897"/>
      <c r="I2267" s="898"/>
      <c r="J2267" s="898"/>
      <c r="K2267" s="899"/>
      <c r="L2267" s="899"/>
      <c r="M2267" s="899"/>
      <c r="N2267" s="899"/>
      <c r="O2267" s="899"/>
      <c r="P2267" s="899"/>
      <c r="Q2267" s="573"/>
      <c r="R2267" s="573"/>
      <c r="S2267" s="573"/>
      <c r="T2267" s="573"/>
      <c r="U2267" s="573"/>
      <c r="V2267" s="573"/>
      <c r="W2267" s="573"/>
      <c r="X2267" s="573"/>
      <c r="Y2267" s="573"/>
      <c r="Z2267" s="573"/>
    </row>
    <row r="2268" spans="1:26" ht="18.75">
      <c r="A2268" s="677"/>
      <c r="B2268" s="677"/>
      <c r="C2268" s="677"/>
      <c r="D2268" s="896"/>
      <c r="E2268" s="677"/>
      <c r="F2268" s="677"/>
      <c r="G2268" s="677"/>
      <c r="H2268" s="897"/>
      <c r="I2268" s="898"/>
      <c r="J2268" s="898"/>
      <c r="K2268" s="899"/>
      <c r="L2268" s="899"/>
      <c r="M2268" s="899"/>
      <c r="N2268" s="899"/>
      <c r="O2268" s="899"/>
      <c r="P2268" s="899"/>
      <c r="Q2268" s="573"/>
      <c r="R2268" s="573"/>
      <c r="S2268" s="573"/>
      <c r="T2268" s="573"/>
      <c r="U2268" s="573"/>
      <c r="V2268" s="573"/>
      <c r="W2268" s="573"/>
      <c r="X2268" s="573"/>
      <c r="Y2268" s="573"/>
      <c r="Z2268" s="573"/>
    </row>
    <row r="2269" spans="1:26" ht="18.75">
      <c r="A2269" s="677"/>
      <c r="B2269" s="677"/>
      <c r="C2269" s="677"/>
      <c r="D2269" s="896"/>
      <c r="E2269" s="677"/>
      <c r="F2269" s="677"/>
      <c r="G2269" s="677"/>
      <c r="H2269" s="897"/>
      <c r="I2269" s="898"/>
      <c r="J2269" s="898"/>
      <c r="K2269" s="899"/>
      <c r="L2269" s="899"/>
      <c r="M2269" s="899"/>
      <c r="N2269" s="899"/>
      <c r="O2269" s="899"/>
      <c r="P2269" s="899"/>
      <c r="Q2269" s="573"/>
      <c r="R2269" s="573"/>
      <c r="S2269" s="573"/>
      <c r="T2269" s="573"/>
      <c r="U2269" s="573"/>
      <c r="V2269" s="573"/>
      <c r="W2269" s="573"/>
      <c r="X2269" s="573"/>
      <c r="Y2269" s="573"/>
      <c r="Z2269" s="573"/>
    </row>
    <row r="2270" spans="1:26" ht="18.75">
      <c r="A2270" s="677"/>
      <c r="B2270" s="677"/>
      <c r="C2270" s="677"/>
      <c r="D2270" s="896"/>
      <c r="E2270" s="677"/>
      <c r="F2270" s="677"/>
      <c r="G2270" s="677"/>
      <c r="H2270" s="897"/>
      <c r="I2270" s="898"/>
      <c r="J2270" s="898"/>
      <c r="K2270" s="899"/>
      <c r="L2270" s="899"/>
      <c r="M2270" s="899"/>
      <c r="N2270" s="899"/>
      <c r="O2270" s="899"/>
      <c r="P2270" s="899"/>
      <c r="Q2270" s="573"/>
      <c r="R2270" s="573"/>
      <c r="S2270" s="573"/>
      <c r="T2270" s="573"/>
      <c r="U2270" s="573"/>
      <c r="V2270" s="573"/>
      <c r="W2270" s="573"/>
      <c r="X2270" s="573"/>
      <c r="Y2270" s="573"/>
      <c r="Z2270" s="573"/>
    </row>
    <row r="2271" spans="1:26" ht="18.75">
      <c r="A2271" s="677"/>
      <c r="B2271" s="677"/>
      <c r="C2271" s="677"/>
      <c r="D2271" s="896"/>
      <c r="E2271" s="677"/>
      <c r="F2271" s="677"/>
      <c r="G2271" s="677"/>
      <c r="H2271" s="897"/>
      <c r="I2271" s="898"/>
      <c r="J2271" s="898"/>
      <c r="K2271" s="899"/>
      <c r="L2271" s="899"/>
      <c r="M2271" s="899"/>
      <c r="N2271" s="899"/>
      <c r="O2271" s="899"/>
      <c r="P2271" s="899"/>
      <c r="Q2271" s="573"/>
      <c r="R2271" s="573"/>
      <c r="S2271" s="573"/>
      <c r="T2271" s="573"/>
      <c r="U2271" s="573"/>
      <c r="V2271" s="573"/>
      <c r="W2271" s="573"/>
      <c r="X2271" s="573"/>
      <c r="Y2271" s="573"/>
      <c r="Z2271" s="573"/>
    </row>
    <row r="2272" spans="1:26" ht="18.75">
      <c r="A2272" s="677"/>
      <c r="B2272" s="677"/>
      <c r="C2272" s="677"/>
      <c r="D2272" s="896"/>
      <c r="E2272" s="677"/>
      <c r="F2272" s="677"/>
      <c r="G2272" s="677"/>
      <c r="H2272" s="897"/>
      <c r="I2272" s="898"/>
      <c r="J2272" s="898"/>
      <c r="K2272" s="899"/>
      <c r="L2272" s="899"/>
      <c r="M2272" s="899"/>
      <c r="N2272" s="899"/>
      <c r="O2272" s="899"/>
      <c r="P2272" s="899"/>
      <c r="Q2272" s="573"/>
      <c r="R2272" s="573"/>
      <c r="S2272" s="573"/>
      <c r="T2272" s="573"/>
      <c r="U2272" s="573"/>
      <c r="V2272" s="573"/>
      <c r="W2272" s="573"/>
      <c r="X2272" s="573"/>
      <c r="Y2272" s="573"/>
      <c r="Z2272" s="573"/>
    </row>
    <row r="2273" spans="1:26" ht="18.75">
      <c r="A2273" s="677"/>
      <c r="B2273" s="677"/>
      <c r="C2273" s="677"/>
      <c r="D2273" s="896"/>
      <c r="E2273" s="677"/>
      <c r="F2273" s="677"/>
      <c r="G2273" s="677"/>
      <c r="H2273" s="897"/>
      <c r="I2273" s="898"/>
      <c r="J2273" s="898"/>
      <c r="K2273" s="899"/>
      <c r="L2273" s="899"/>
      <c r="M2273" s="899"/>
      <c r="N2273" s="899"/>
      <c r="O2273" s="899"/>
      <c r="P2273" s="899"/>
      <c r="Q2273" s="573"/>
      <c r="R2273" s="573"/>
      <c r="S2273" s="573"/>
      <c r="T2273" s="573"/>
      <c r="U2273" s="573"/>
      <c r="V2273" s="573"/>
      <c r="W2273" s="573"/>
      <c r="X2273" s="573"/>
      <c r="Y2273" s="573"/>
      <c r="Z2273" s="573"/>
    </row>
    <row r="2274" spans="1:26" ht="18.75">
      <c r="A2274" s="677"/>
      <c r="B2274" s="677"/>
      <c r="C2274" s="677"/>
      <c r="D2274" s="896"/>
      <c r="E2274" s="677"/>
      <c r="F2274" s="677"/>
      <c r="G2274" s="677"/>
      <c r="H2274" s="897"/>
      <c r="I2274" s="898"/>
      <c r="J2274" s="898"/>
      <c r="K2274" s="899"/>
      <c r="L2274" s="899"/>
      <c r="M2274" s="899"/>
      <c r="N2274" s="899"/>
      <c r="O2274" s="899"/>
      <c r="P2274" s="899"/>
      <c r="Q2274" s="573"/>
      <c r="R2274" s="573"/>
      <c r="S2274" s="573"/>
      <c r="T2274" s="573"/>
      <c r="U2274" s="573"/>
      <c r="V2274" s="573"/>
      <c r="W2274" s="573"/>
      <c r="X2274" s="573"/>
      <c r="Y2274" s="573"/>
      <c r="Z2274" s="573"/>
    </row>
    <row r="2275" spans="1:26" ht="18.75">
      <c r="A2275" s="677"/>
      <c r="B2275" s="677"/>
      <c r="C2275" s="677"/>
      <c r="D2275" s="896"/>
      <c r="E2275" s="677"/>
      <c r="F2275" s="677"/>
      <c r="G2275" s="677"/>
      <c r="H2275" s="897"/>
      <c r="I2275" s="898"/>
      <c r="J2275" s="898"/>
      <c r="K2275" s="899"/>
      <c r="L2275" s="899"/>
      <c r="M2275" s="899"/>
      <c r="N2275" s="899"/>
      <c r="O2275" s="899"/>
      <c r="P2275" s="899"/>
      <c r="Q2275" s="573"/>
      <c r="R2275" s="573"/>
      <c r="S2275" s="573"/>
      <c r="T2275" s="573"/>
      <c r="U2275" s="573"/>
      <c r="V2275" s="573"/>
      <c r="W2275" s="573"/>
      <c r="X2275" s="573"/>
      <c r="Y2275" s="573"/>
      <c r="Z2275" s="573"/>
    </row>
    <row r="2276" spans="1:26" ht="18.75">
      <c r="A2276" s="677"/>
      <c r="B2276" s="677"/>
      <c r="C2276" s="677"/>
      <c r="D2276" s="896"/>
      <c r="E2276" s="677"/>
      <c r="F2276" s="677"/>
      <c r="G2276" s="677"/>
      <c r="H2276" s="897"/>
      <c r="I2276" s="898"/>
      <c r="J2276" s="898"/>
      <c r="K2276" s="899"/>
      <c r="L2276" s="899"/>
      <c r="M2276" s="899"/>
      <c r="N2276" s="899"/>
      <c r="O2276" s="899"/>
      <c r="P2276" s="899"/>
      <c r="Q2276" s="573"/>
      <c r="R2276" s="573"/>
      <c r="S2276" s="573"/>
      <c r="T2276" s="573"/>
      <c r="U2276" s="573"/>
      <c r="V2276" s="573"/>
      <c r="W2276" s="573"/>
      <c r="X2276" s="573"/>
      <c r="Y2276" s="573"/>
      <c r="Z2276" s="573"/>
    </row>
    <row r="2277" spans="1:26" ht="18.75">
      <c r="A2277" s="677"/>
      <c r="B2277" s="677"/>
      <c r="C2277" s="677"/>
      <c r="D2277" s="896"/>
      <c r="E2277" s="677"/>
      <c r="F2277" s="677"/>
      <c r="G2277" s="677"/>
      <c r="H2277" s="897"/>
      <c r="I2277" s="898"/>
      <c r="J2277" s="898"/>
      <c r="K2277" s="899"/>
      <c r="L2277" s="899"/>
      <c r="M2277" s="899"/>
      <c r="N2277" s="899"/>
      <c r="O2277" s="899"/>
      <c r="P2277" s="899"/>
      <c r="Q2277" s="573"/>
      <c r="R2277" s="573"/>
      <c r="S2277" s="573"/>
      <c r="T2277" s="573"/>
      <c r="U2277" s="573"/>
      <c r="V2277" s="573"/>
      <c r="W2277" s="573"/>
      <c r="X2277" s="573"/>
      <c r="Y2277" s="573"/>
      <c r="Z2277" s="573"/>
    </row>
    <row r="2278" spans="1:26" ht="18.75">
      <c r="A2278" s="677"/>
      <c r="B2278" s="677"/>
      <c r="C2278" s="677"/>
      <c r="D2278" s="896"/>
      <c r="E2278" s="677"/>
      <c r="F2278" s="677"/>
      <c r="G2278" s="677"/>
      <c r="H2278" s="897"/>
      <c r="I2278" s="898"/>
      <c r="J2278" s="898"/>
      <c r="K2278" s="899"/>
      <c r="L2278" s="899"/>
      <c r="M2278" s="899"/>
      <c r="N2278" s="899"/>
      <c r="O2278" s="899"/>
      <c r="P2278" s="899"/>
      <c r="Q2278" s="573"/>
      <c r="R2278" s="573"/>
      <c r="S2278" s="573"/>
      <c r="T2278" s="573"/>
      <c r="U2278" s="573"/>
      <c r="V2278" s="573"/>
      <c r="W2278" s="573"/>
      <c r="X2278" s="573"/>
      <c r="Y2278" s="573"/>
      <c r="Z2278" s="573"/>
    </row>
    <row r="2279" spans="1:26" ht="18.75">
      <c r="A2279" s="677"/>
      <c r="B2279" s="677"/>
      <c r="C2279" s="677"/>
      <c r="D2279" s="896"/>
      <c r="E2279" s="677"/>
      <c r="F2279" s="677"/>
      <c r="G2279" s="677"/>
      <c r="H2279" s="897"/>
      <c r="I2279" s="898"/>
      <c r="J2279" s="898"/>
      <c r="K2279" s="899"/>
      <c r="L2279" s="899"/>
      <c r="M2279" s="899"/>
      <c r="N2279" s="899"/>
      <c r="O2279" s="899"/>
      <c r="P2279" s="899"/>
      <c r="Q2279" s="573"/>
      <c r="R2279" s="573"/>
      <c r="S2279" s="573"/>
      <c r="T2279" s="573"/>
      <c r="U2279" s="573"/>
      <c r="V2279" s="573"/>
      <c r="W2279" s="573"/>
      <c r="X2279" s="573"/>
      <c r="Y2279" s="573"/>
      <c r="Z2279" s="573"/>
    </row>
    <row r="2280" spans="1:26" ht="18.75">
      <c r="A2280" s="677"/>
      <c r="B2280" s="677"/>
      <c r="C2280" s="677"/>
      <c r="D2280" s="896"/>
      <c r="E2280" s="677"/>
      <c r="F2280" s="677"/>
      <c r="G2280" s="677"/>
      <c r="H2280" s="897"/>
      <c r="I2280" s="898"/>
      <c r="J2280" s="898"/>
      <c r="K2280" s="899"/>
      <c r="L2280" s="899"/>
      <c r="M2280" s="899"/>
      <c r="N2280" s="899"/>
      <c r="O2280" s="899"/>
      <c r="P2280" s="899"/>
      <c r="Q2280" s="573"/>
      <c r="R2280" s="573"/>
      <c r="S2280" s="573"/>
      <c r="T2280" s="573"/>
      <c r="U2280" s="573"/>
      <c r="V2280" s="573"/>
      <c r="W2280" s="573"/>
      <c r="X2280" s="573"/>
      <c r="Y2280" s="573"/>
      <c r="Z2280" s="573"/>
    </row>
    <row r="2281" spans="1:26" ht="18.75">
      <c r="A2281" s="677"/>
      <c r="B2281" s="677"/>
      <c r="C2281" s="677"/>
      <c r="D2281" s="896"/>
      <c r="E2281" s="677"/>
      <c r="F2281" s="677"/>
      <c r="G2281" s="677"/>
      <c r="H2281" s="897"/>
      <c r="I2281" s="898"/>
      <c r="J2281" s="898"/>
      <c r="K2281" s="899"/>
      <c r="L2281" s="899"/>
      <c r="M2281" s="899"/>
      <c r="N2281" s="899"/>
      <c r="O2281" s="899"/>
      <c r="P2281" s="899"/>
      <c r="Q2281" s="573"/>
      <c r="R2281" s="573"/>
      <c r="S2281" s="573"/>
      <c r="T2281" s="573"/>
      <c r="U2281" s="573"/>
      <c r="V2281" s="573"/>
      <c r="W2281" s="573"/>
      <c r="X2281" s="573"/>
      <c r="Y2281" s="573"/>
      <c r="Z2281" s="573"/>
    </row>
    <row r="2282" spans="1:26" ht="18.75">
      <c r="A2282" s="677"/>
      <c r="B2282" s="677"/>
      <c r="C2282" s="677"/>
      <c r="D2282" s="896"/>
      <c r="E2282" s="677"/>
      <c r="F2282" s="677"/>
      <c r="G2282" s="677"/>
      <c r="H2282" s="897"/>
      <c r="I2282" s="898"/>
      <c r="J2282" s="898"/>
      <c r="K2282" s="899"/>
      <c r="L2282" s="899"/>
      <c r="M2282" s="899"/>
      <c r="N2282" s="899"/>
      <c r="O2282" s="899"/>
      <c r="P2282" s="899"/>
      <c r="Q2282" s="573"/>
      <c r="R2282" s="573"/>
      <c r="S2282" s="573"/>
      <c r="T2282" s="573"/>
      <c r="U2282" s="573"/>
      <c r="V2282" s="573"/>
      <c r="W2282" s="573"/>
      <c r="X2282" s="573"/>
      <c r="Y2282" s="573"/>
      <c r="Z2282" s="573"/>
    </row>
    <row r="2283" spans="1:26" ht="18.75">
      <c r="A2283" s="677"/>
      <c r="B2283" s="677"/>
      <c r="C2283" s="677"/>
      <c r="D2283" s="896"/>
      <c r="E2283" s="677"/>
      <c r="F2283" s="677"/>
      <c r="G2283" s="677"/>
      <c r="H2283" s="897"/>
      <c r="I2283" s="898"/>
      <c r="J2283" s="898"/>
      <c r="K2283" s="899"/>
      <c r="L2283" s="899"/>
      <c r="M2283" s="899"/>
      <c r="N2283" s="899"/>
      <c r="O2283" s="899"/>
      <c r="P2283" s="899"/>
      <c r="Q2283" s="573"/>
      <c r="R2283" s="573"/>
      <c r="S2283" s="573"/>
      <c r="T2283" s="573"/>
      <c r="U2283" s="573"/>
      <c r="V2283" s="573"/>
      <c r="W2283" s="573"/>
      <c r="X2283" s="573"/>
      <c r="Y2283" s="573"/>
      <c r="Z2283" s="573"/>
    </row>
    <row r="2284" spans="1:26" ht="18.75">
      <c r="A2284" s="677"/>
      <c r="B2284" s="677"/>
      <c r="C2284" s="677"/>
      <c r="D2284" s="896"/>
      <c r="E2284" s="677"/>
      <c r="F2284" s="677"/>
      <c r="G2284" s="677"/>
      <c r="H2284" s="897"/>
      <c r="I2284" s="898"/>
      <c r="J2284" s="898"/>
      <c r="K2284" s="899"/>
      <c r="L2284" s="899"/>
      <c r="M2284" s="899"/>
      <c r="N2284" s="899"/>
      <c r="O2284" s="899"/>
      <c r="P2284" s="899"/>
      <c r="Q2284" s="573"/>
      <c r="R2284" s="573"/>
      <c r="S2284" s="573"/>
      <c r="T2284" s="573"/>
      <c r="U2284" s="573"/>
      <c r="V2284" s="573"/>
      <c r="W2284" s="573"/>
      <c r="X2284" s="573"/>
      <c r="Y2284" s="573"/>
      <c r="Z2284" s="573"/>
    </row>
    <row r="2285" spans="1:26" ht="18.75">
      <c r="A2285" s="677"/>
      <c r="B2285" s="677"/>
      <c r="C2285" s="677"/>
      <c r="D2285" s="896"/>
      <c r="E2285" s="677"/>
      <c r="F2285" s="677"/>
      <c r="G2285" s="677"/>
      <c r="H2285" s="897"/>
      <c r="I2285" s="898"/>
      <c r="J2285" s="898"/>
      <c r="K2285" s="899"/>
      <c r="L2285" s="899"/>
      <c r="M2285" s="899"/>
      <c r="N2285" s="899"/>
      <c r="O2285" s="899"/>
      <c r="P2285" s="899"/>
      <c r="Q2285" s="573"/>
      <c r="R2285" s="573"/>
      <c r="S2285" s="573"/>
      <c r="T2285" s="573"/>
      <c r="U2285" s="573"/>
      <c r="V2285" s="573"/>
      <c r="W2285" s="573"/>
      <c r="X2285" s="573"/>
      <c r="Y2285" s="573"/>
      <c r="Z2285" s="573"/>
    </row>
    <row r="2286" spans="1:26" ht="18.75">
      <c r="A2286" s="677"/>
      <c r="B2286" s="677"/>
      <c r="C2286" s="677"/>
      <c r="D2286" s="896"/>
      <c r="E2286" s="677"/>
      <c r="F2286" s="677"/>
      <c r="G2286" s="677"/>
      <c r="H2286" s="897"/>
      <c r="I2286" s="898"/>
      <c r="J2286" s="898"/>
      <c r="K2286" s="899"/>
      <c r="L2286" s="899"/>
      <c r="M2286" s="899"/>
      <c r="N2286" s="899"/>
      <c r="O2286" s="899"/>
      <c r="P2286" s="899"/>
      <c r="Q2286" s="573"/>
      <c r="R2286" s="573"/>
      <c r="S2286" s="573"/>
      <c r="T2286" s="573"/>
      <c r="U2286" s="573"/>
      <c r="V2286" s="573"/>
      <c r="W2286" s="573"/>
      <c r="X2286" s="573"/>
      <c r="Y2286" s="573"/>
      <c r="Z2286" s="573"/>
    </row>
    <row r="2287" spans="1:26" ht="18.75">
      <c r="A2287" s="677"/>
      <c r="B2287" s="677"/>
      <c r="C2287" s="677"/>
      <c r="D2287" s="896"/>
      <c r="E2287" s="677"/>
      <c r="F2287" s="677"/>
      <c r="G2287" s="677"/>
      <c r="H2287" s="897"/>
      <c r="I2287" s="898"/>
      <c r="J2287" s="898"/>
      <c r="K2287" s="899"/>
      <c r="L2287" s="899"/>
      <c r="M2287" s="899"/>
      <c r="N2287" s="899"/>
      <c r="O2287" s="899"/>
      <c r="P2287" s="899"/>
      <c r="Q2287" s="573"/>
      <c r="R2287" s="573"/>
      <c r="S2287" s="573"/>
      <c r="T2287" s="573"/>
      <c r="U2287" s="573"/>
      <c r="V2287" s="573"/>
      <c r="W2287" s="573"/>
      <c r="X2287" s="573"/>
      <c r="Y2287" s="573"/>
      <c r="Z2287" s="573"/>
    </row>
    <row r="2288" spans="1:26" ht="18.75">
      <c r="A2288" s="677"/>
      <c r="B2288" s="677"/>
      <c r="C2288" s="677"/>
      <c r="D2288" s="896"/>
      <c r="E2288" s="677"/>
      <c r="F2288" s="677"/>
      <c r="G2288" s="677"/>
      <c r="H2288" s="897"/>
      <c r="I2288" s="898"/>
      <c r="J2288" s="898"/>
      <c r="K2288" s="899"/>
      <c r="L2288" s="899"/>
      <c r="M2288" s="899"/>
      <c r="N2288" s="899"/>
      <c r="O2288" s="899"/>
      <c r="P2288" s="899"/>
      <c r="Q2288" s="573"/>
      <c r="R2288" s="573"/>
      <c r="S2288" s="573"/>
      <c r="T2288" s="573"/>
      <c r="U2288" s="573"/>
      <c r="V2288" s="573"/>
      <c r="W2288" s="573"/>
      <c r="X2288" s="573"/>
      <c r="Y2288" s="573"/>
      <c r="Z2288" s="573"/>
    </row>
    <row r="2289" spans="1:26" ht="18.75">
      <c r="A2289" s="677"/>
      <c r="B2289" s="677"/>
      <c r="C2289" s="677"/>
      <c r="D2289" s="896"/>
      <c r="E2289" s="677"/>
      <c r="F2289" s="677"/>
      <c r="G2289" s="677"/>
      <c r="H2289" s="897"/>
      <c r="I2289" s="898"/>
      <c r="J2289" s="898"/>
      <c r="K2289" s="899"/>
      <c r="L2289" s="899"/>
      <c r="M2289" s="899"/>
      <c r="N2289" s="899"/>
      <c r="O2289" s="899"/>
      <c r="P2289" s="899"/>
      <c r="Q2289" s="573"/>
      <c r="R2289" s="573"/>
      <c r="S2289" s="573"/>
      <c r="T2289" s="573"/>
      <c r="U2289" s="573"/>
      <c r="V2289" s="573"/>
      <c r="W2289" s="573"/>
      <c r="X2289" s="573"/>
      <c r="Y2289" s="573"/>
      <c r="Z2289" s="573"/>
    </row>
    <row r="2290" spans="1:26" ht="18.75">
      <c r="A2290" s="677"/>
      <c r="B2290" s="677"/>
      <c r="C2290" s="677"/>
      <c r="D2290" s="896"/>
      <c r="E2290" s="677"/>
      <c r="F2290" s="677"/>
      <c r="G2290" s="677"/>
      <c r="H2290" s="897"/>
      <c r="I2290" s="898"/>
      <c r="J2290" s="898"/>
      <c r="K2290" s="899"/>
      <c r="L2290" s="899"/>
      <c r="M2290" s="899"/>
      <c r="N2290" s="899"/>
      <c r="O2290" s="899"/>
      <c r="P2290" s="899"/>
      <c r="Q2290" s="573"/>
      <c r="R2290" s="573"/>
      <c r="S2290" s="573"/>
      <c r="T2290" s="573"/>
      <c r="U2290" s="573"/>
      <c r="V2290" s="573"/>
      <c r="W2290" s="573"/>
      <c r="X2290" s="573"/>
      <c r="Y2290" s="573"/>
      <c r="Z2290" s="573"/>
    </row>
    <row r="2291" spans="1:26" ht="18.75">
      <c r="A2291" s="677"/>
      <c r="B2291" s="677"/>
      <c r="C2291" s="677"/>
      <c r="D2291" s="896"/>
      <c r="E2291" s="677"/>
      <c r="F2291" s="677"/>
      <c r="G2291" s="677"/>
      <c r="H2291" s="897"/>
      <c r="I2291" s="898"/>
      <c r="J2291" s="898"/>
      <c r="K2291" s="899"/>
      <c r="L2291" s="899"/>
      <c r="M2291" s="899"/>
      <c r="N2291" s="899"/>
      <c r="O2291" s="899"/>
      <c r="P2291" s="899"/>
      <c r="Q2291" s="573"/>
      <c r="R2291" s="573"/>
      <c r="S2291" s="573"/>
      <c r="T2291" s="573"/>
      <c r="U2291" s="573"/>
      <c r="V2291" s="573"/>
      <c r="W2291" s="573"/>
      <c r="X2291" s="573"/>
      <c r="Y2291" s="573"/>
      <c r="Z2291" s="573"/>
    </row>
    <row r="2292" spans="1:26" ht="18.75">
      <c r="A2292" s="677"/>
      <c r="B2292" s="677"/>
      <c r="C2292" s="677"/>
      <c r="D2292" s="896"/>
      <c r="E2292" s="677"/>
      <c r="F2292" s="677"/>
      <c r="G2292" s="677"/>
      <c r="H2292" s="897"/>
      <c r="I2292" s="898"/>
      <c r="J2292" s="898"/>
      <c r="K2292" s="899"/>
      <c r="L2292" s="899"/>
      <c r="M2292" s="899"/>
      <c r="N2292" s="899"/>
      <c r="O2292" s="899"/>
      <c r="P2292" s="899"/>
      <c r="Q2292" s="573"/>
      <c r="R2292" s="573"/>
      <c r="S2292" s="573"/>
      <c r="T2292" s="573"/>
      <c r="U2292" s="573"/>
      <c r="V2292" s="573"/>
      <c r="W2292" s="573"/>
      <c r="X2292" s="573"/>
      <c r="Y2292" s="573"/>
      <c r="Z2292" s="573"/>
    </row>
    <row r="2293" spans="1:26" ht="18.75">
      <c r="A2293" s="677"/>
      <c r="B2293" s="677"/>
      <c r="C2293" s="677"/>
      <c r="D2293" s="896"/>
      <c r="E2293" s="677"/>
      <c r="F2293" s="677"/>
      <c r="G2293" s="677"/>
      <c r="H2293" s="897"/>
      <c r="I2293" s="898"/>
      <c r="J2293" s="898"/>
      <c r="K2293" s="899"/>
      <c r="L2293" s="899"/>
      <c r="M2293" s="899"/>
      <c r="N2293" s="899"/>
      <c r="O2293" s="899"/>
      <c r="P2293" s="899"/>
      <c r="Q2293" s="573"/>
      <c r="R2293" s="573"/>
      <c r="S2293" s="573"/>
      <c r="T2293" s="573"/>
      <c r="U2293" s="573"/>
      <c r="V2293" s="573"/>
      <c r="W2293" s="573"/>
      <c r="X2293" s="573"/>
      <c r="Y2293" s="573"/>
      <c r="Z2293" s="573"/>
    </row>
    <row r="2294" spans="1:26" ht="18.75">
      <c r="A2294" s="677"/>
      <c r="B2294" s="677"/>
      <c r="C2294" s="677"/>
      <c r="D2294" s="896"/>
      <c r="E2294" s="677"/>
      <c r="F2294" s="677"/>
      <c r="G2294" s="677"/>
      <c r="H2294" s="897"/>
      <c r="I2294" s="898"/>
      <c r="J2294" s="898"/>
      <c r="K2294" s="899"/>
      <c r="L2294" s="899"/>
      <c r="M2294" s="899"/>
      <c r="N2294" s="899"/>
      <c r="O2294" s="899"/>
      <c r="P2294" s="899"/>
      <c r="Q2294" s="573"/>
      <c r="R2294" s="573"/>
      <c r="S2294" s="573"/>
      <c r="T2294" s="573"/>
      <c r="U2294" s="573"/>
      <c r="V2294" s="573"/>
      <c r="W2294" s="573"/>
      <c r="X2294" s="573"/>
      <c r="Y2294" s="573"/>
      <c r="Z2294" s="573"/>
    </row>
    <row r="2295" spans="1:26" ht="18.75">
      <c r="A2295" s="677"/>
      <c r="B2295" s="677"/>
      <c r="C2295" s="677"/>
      <c r="D2295" s="896"/>
      <c r="E2295" s="677"/>
      <c r="F2295" s="677"/>
      <c r="G2295" s="677"/>
      <c r="H2295" s="897"/>
      <c r="I2295" s="898"/>
      <c r="J2295" s="898"/>
      <c r="K2295" s="899"/>
      <c r="L2295" s="899"/>
      <c r="M2295" s="899"/>
      <c r="N2295" s="899"/>
      <c r="O2295" s="899"/>
      <c r="P2295" s="899"/>
      <c r="Q2295" s="573"/>
      <c r="R2295" s="573"/>
      <c r="S2295" s="573"/>
      <c r="T2295" s="573"/>
      <c r="U2295" s="573"/>
      <c r="V2295" s="573"/>
      <c r="W2295" s="573"/>
      <c r="X2295" s="573"/>
      <c r="Y2295" s="573"/>
      <c r="Z2295" s="573"/>
    </row>
    <row r="2296" spans="1:26" ht="18.75">
      <c r="A2296" s="677"/>
      <c r="B2296" s="677"/>
      <c r="C2296" s="677"/>
      <c r="D2296" s="896"/>
      <c r="E2296" s="677"/>
      <c r="F2296" s="677"/>
      <c r="G2296" s="677"/>
      <c r="H2296" s="897"/>
      <c r="I2296" s="898"/>
      <c r="J2296" s="898"/>
      <c r="K2296" s="899"/>
      <c r="L2296" s="899"/>
      <c r="M2296" s="899"/>
      <c r="N2296" s="899"/>
      <c r="O2296" s="899"/>
      <c r="P2296" s="899"/>
      <c r="Q2296" s="573"/>
      <c r="R2296" s="573"/>
      <c r="S2296" s="573"/>
      <c r="T2296" s="573"/>
      <c r="U2296" s="573"/>
      <c r="V2296" s="573"/>
      <c r="W2296" s="573"/>
      <c r="X2296" s="573"/>
      <c r="Y2296" s="573"/>
      <c r="Z2296" s="573"/>
    </row>
    <row r="2297" spans="1:26" ht="18.75">
      <c r="A2297" s="677"/>
      <c r="B2297" s="677"/>
      <c r="C2297" s="677"/>
      <c r="D2297" s="896"/>
      <c r="E2297" s="677"/>
      <c r="F2297" s="677"/>
      <c r="G2297" s="677"/>
      <c r="H2297" s="897"/>
      <c r="I2297" s="898"/>
      <c r="J2297" s="898"/>
      <c r="K2297" s="899"/>
      <c r="L2297" s="899"/>
      <c r="M2297" s="899"/>
      <c r="N2297" s="899"/>
      <c r="O2297" s="899"/>
      <c r="P2297" s="899"/>
      <c r="Q2297" s="573"/>
      <c r="R2297" s="573"/>
      <c r="S2297" s="573"/>
      <c r="T2297" s="573"/>
      <c r="U2297" s="573"/>
      <c r="V2297" s="573"/>
      <c r="W2297" s="573"/>
      <c r="X2297" s="573"/>
      <c r="Y2297" s="573"/>
      <c r="Z2297" s="573"/>
    </row>
    <row r="2298" spans="1:26" ht="18.75">
      <c r="A2298" s="677"/>
      <c r="B2298" s="677"/>
      <c r="C2298" s="677"/>
      <c r="D2298" s="896"/>
      <c r="E2298" s="677"/>
      <c r="F2298" s="677"/>
      <c r="G2298" s="677"/>
      <c r="H2298" s="897"/>
      <c r="I2298" s="898"/>
      <c r="J2298" s="898"/>
      <c r="K2298" s="899"/>
      <c r="L2298" s="899"/>
      <c r="M2298" s="899"/>
      <c r="N2298" s="899"/>
      <c r="O2298" s="899"/>
      <c r="P2298" s="899"/>
      <c r="Q2298" s="573"/>
      <c r="R2298" s="573"/>
      <c r="S2298" s="573"/>
      <c r="T2298" s="573"/>
      <c r="U2298" s="573"/>
      <c r="V2298" s="573"/>
      <c r="W2298" s="573"/>
      <c r="X2298" s="573"/>
      <c r="Y2298" s="573"/>
      <c r="Z2298" s="573"/>
    </row>
    <row r="2299" spans="1:26" ht="18.75">
      <c r="A2299" s="677"/>
      <c r="B2299" s="677"/>
      <c r="C2299" s="677"/>
      <c r="D2299" s="896"/>
      <c r="E2299" s="677"/>
      <c r="F2299" s="677"/>
      <c r="G2299" s="677"/>
      <c r="H2299" s="897"/>
      <c r="I2299" s="898"/>
      <c r="J2299" s="898"/>
      <c r="K2299" s="899"/>
      <c r="L2299" s="899"/>
      <c r="M2299" s="899"/>
      <c r="N2299" s="899"/>
      <c r="O2299" s="899"/>
      <c r="P2299" s="899"/>
      <c r="Q2299" s="573"/>
      <c r="R2299" s="573"/>
      <c r="S2299" s="573"/>
      <c r="T2299" s="573"/>
      <c r="U2299" s="573"/>
      <c r="V2299" s="573"/>
      <c r="W2299" s="573"/>
      <c r="X2299" s="573"/>
      <c r="Y2299" s="573"/>
      <c r="Z2299" s="573"/>
    </row>
    <row r="2300" spans="1:26" ht="18.75">
      <c r="A2300" s="677"/>
      <c r="B2300" s="677"/>
      <c r="C2300" s="677"/>
      <c r="D2300" s="896"/>
      <c r="E2300" s="677"/>
      <c r="F2300" s="677"/>
      <c r="G2300" s="677"/>
      <c r="H2300" s="897"/>
      <c r="I2300" s="898"/>
      <c r="J2300" s="898"/>
      <c r="K2300" s="899"/>
      <c r="L2300" s="899"/>
      <c r="M2300" s="899"/>
      <c r="N2300" s="899"/>
      <c r="O2300" s="899"/>
      <c r="P2300" s="899"/>
      <c r="Q2300" s="573"/>
      <c r="R2300" s="573"/>
      <c r="S2300" s="573"/>
      <c r="T2300" s="573"/>
      <c r="U2300" s="573"/>
      <c r="V2300" s="573"/>
      <c r="W2300" s="573"/>
      <c r="X2300" s="573"/>
      <c r="Y2300" s="573"/>
      <c r="Z2300" s="573"/>
    </row>
    <row r="2301" spans="1:26" ht="18.75">
      <c r="A2301" s="677"/>
      <c r="B2301" s="677"/>
      <c r="C2301" s="677"/>
      <c r="D2301" s="896"/>
      <c r="E2301" s="677"/>
      <c r="F2301" s="677"/>
      <c r="G2301" s="677"/>
      <c r="H2301" s="897"/>
      <c r="I2301" s="898"/>
      <c r="J2301" s="898"/>
      <c r="K2301" s="899"/>
      <c r="L2301" s="899"/>
      <c r="M2301" s="899"/>
      <c r="N2301" s="899"/>
      <c r="O2301" s="899"/>
      <c r="P2301" s="899"/>
      <c r="Q2301" s="573"/>
      <c r="R2301" s="573"/>
      <c r="S2301" s="573"/>
      <c r="T2301" s="573"/>
      <c r="U2301" s="573"/>
      <c r="V2301" s="573"/>
      <c r="W2301" s="573"/>
      <c r="X2301" s="573"/>
      <c r="Y2301" s="573"/>
      <c r="Z2301" s="573"/>
    </row>
    <row r="2302" spans="1:26" ht="18.75">
      <c r="A2302" s="677"/>
      <c r="B2302" s="677"/>
      <c r="C2302" s="677"/>
      <c r="D2302" s="896"/>
      <c r="E2302" s="677"/>
      <c r="F2302" s="677"/>
      <c r="G2302" s="677"/>
      <c r="H2302" s="897"/>
      <c r="I2302" s="898"/>
      <c r="J2302" s="898"/>
      <c r="K2302" s="899"/>
      <c r="L2302" s="899"/>
      <c r="M2302" s="899"/>
      <c r="N2302" s="899"/>
      <c r="O2302" s="899"/>
      <c r="P2302" s="899"/>
      <c r="Q2302" s="573"/>
      <c r="R2302" s="573"/>
      <c r="S2302" s="573"/>
      <c r="T2302" s="573"/>
      <c r="U2302" s="573"/>
      <c r="V2302" s="573"/>
      <c r="W2302" s="573"/>
      <c r="X2302" s="573"/>
      <c r="Y2302" s="573"/>
      <c r="Z2302" s="573"/>
    </row>
    <row r="2303" spans="1:26" ht="18.75">
      <c r="A2303" s="677"/>
      <c r="B2303" s="677"/>
      <c r="C2303" s="677"/>
      <c r="D2303" s="896"/>
      <c r="E2303" s="677"/>
      <c r="F2303" s="677"/>
      <c r="G2303" s="677"/>
      <c r="H2303" s="897"/>
      <c r="I2303" s="898"/>
      <c r="J2303" s="898"/>
      <c r="K2303" s="899"/>
      <c r="L2303" s="899"/>
      <c r="M2303" s="899"/>
      <c r="N2303" s="899"/>
      <c r="O2303" s="899"/>
      <c r="P2303" s="899"/>
      <c r="Q2303" s="573"/>
      <c r="R2303" s="573"/>
      <c r="S2303" s="573"/>
      <c r="T2303" s="573"/>
      <c r="U2303" s="573"/>
      <c r="V2303" s="573"/>
      <c r="W2303" s="573"/>
      <c r="X2303" s="573"/>
      <c r="Y2303" s="573"/>
      <c r="Z2303" s="573"/>
    </row>
    <row r="2304" spans="1:26" ht="18.75">
      <c r="A2304" s="677"/>
      <c r="B2304" s="677"/>
      <c r="C2304" s="677"/>
      <c r="D2304" s="896"/>
      <c r="E2304" s="677"/>
      <c r="F2304" s="677"/>
      <c r="G2304" s="677"/>
      <c r="H2304" s="897"/>
      <c r="I2304" s="898"/>
      <c r="J2304" s="898"/>
      <c r="K2304" s="899"/>
      <c r="L2304" s="899"/>
      <c r="M2304" s="899"/>
      <c r="N2304" s="899"/>
      <c r="O2304" s="899"/>
      <c r="P2304" s="899"/>
      <c r="Q2304" s="573"/>
      <c r="R2304" s="573"/>
      <c r="S2304" s="573"/>
      <c r="T2304" s="573"/>
      <c r="U2304" s="573"/>
      <c r="V2304" s="573"/>
      <c r="W2304" s="573"/>
      <c r="X2304" s="573"/>
      <c r="Y2304" s="573"/>
      <c r="Z2304" s="573"/>
    </row>
    <row r="2305" spans="1:26" ht="18.75">
      <c r="A2305" s="677"/>
      <c r="B2305" s="677"/>
      <c r="C2305" s="677"/>
      <c r="D2305" s="896"/>
      <c r="E2305" s="677"/>
      <c r="F2305" s="677"/>
      <c r="G2305" s="677"/>
      <c r="H2305" s="897"/>
      <c r="I2305" s="898"/>
      <c r="J2305" s="898"/>
      <c r="K2305" s="899"/>
      <c r="L2305" s="899"/>
      <c r="M2305" s="899"/>
      <c r="N2305" s="899"/>
      <c r="O2305" s="899"/>
      <c r="P2305" s="899"/>
      <c r="Q2305" s="573"/>
      <c r="R2305" s="573"/>
      <c r="S2305" s="573"/>
      <c r="T2305" s="573"/>
      <c r="U2305" s="573"/>
      <c r="V2305" s="573"/>
      <c r="W2305" s="573"/>
      <c r="X2305" s="573"/>
      <c r="Y2305" s="573"/>
      <c r="Z2305" s="573"/>
    </row>
    <row r="2306" spans="1:26" ht="18.75">
      <c r="A2306" s="677"/>
      <c r="B2306" s="677"/>
      <c r="C2306" s="677"/>
      <c r="D2306" s="896"/>
      <c r="E2306" s="677"/>
      <c r="F2306" s="677"/>
      <c r="G2306" s="677"/>
      <c r="H2306" s="897"/>
      <c r="I2306" s="898"/>
      <c r="J2306" s="898"/>
      <c r="K2306" s="899"/>
      <c r="L2306" s="899"/>
      <c r="M2306" s="899"/>
      <c r="N2306" s="899"/>
      <c r="O2306" s="899"/>
      <c r="P2306" s="899"/>
      <c r="Q2306" s="573"/>
      <c r="R2306" s="573"/>
      <c r="S2306" s="573"/>
      <c r="T2306" s="573"/>
      <c r="U2306" s="573"/>
      <c r="V2306" s="573"/>
      <c r="W2306" s="573"/>
      <c r="X2306" s="573"/>
      <c r="Y2306" s="573"/>
      <c r="Z2306" s="573"/>
    </row>
    <row r="2307" spans="1:26" ht="18.75">
      <c r="A2307" s="677"/>
      <c r="B2307" s="677"/>
      <c r="C2307" s="677"/>
      <c r="D2307" s="896"/>
      <c r="E2307" s="677"/>
      <c r="F2307" s="677"/>
      <c r="G2307" s="677"/>
      <c r="H2307" s="897"/>
      <c r="I2307" s="898"/>
      <c r="J2307" s="898"/>
      <c r="K2307" s="899"/>
      <c r="L2307" s="899"/>
      <c r="M2307" s="899"/>
      <c r="N2307" s="899"/>
      <c r="O2307" s="899"/>
      <c r="P2307" s="899"/>
      <c r="Q2307" s="573"/>
      <c r="R2307" s="573"/>
      <c r="S2307" s="573"/>
      <c r="T2307" s="573"/>
      <c r="U2307" s="573"/>
      <c r="V2307" s="573"/>
      <c r="W2307" s="573"/>
      <c r="X2307" s="573"/>
      <c r="Y2307" s="573"/>
      <c r="Z2307" s="573"/>
    </row>
    <row r="2308" spans="1:26" ht="18.75">
      <c r="A2308" s="677"/>
      <c r="B2308" s="677"/>
      <c r="C2308" s="677"/>
      <c r="D2308" s="896"/>
      <c r="E2308" s="677"/>
      <c r="F2308" s="677"/>
      <c r="G2308" s="677"/>
      <c r="H2308" s="897"/>
      <c r="I2308" s="898"/>
      <c r="J2308" s="898"/>
      <c r="K2308" s="899"/>
      <c r="L2308" s="899"/>
      <c r="M2308" s="899"/>
      <c r="N2308" s="899"/>
      <c r="O2308" s="899"/>
      <c r="P2308" s="899"/>
      <c r="Q2308" s="573"/>
      <c r="R2308" s="573"/>
      <c r="S2308" s="573"/>
      <c r="T2308" s="573"/>
      <c r="U2308" s="573"/>
      <c r="V2308" s="573"/>
      <c r="W2308" s="573"/>
      <c r="X2308" s="573"/>
      <c r="Y2308" s="573"/>
      <c r="Z2308" s="573"/>
    </row>
    <row r="2309" spans="1:26" ht="18.75">
      <c r="A2309" s="677"/>
      <c r="B2309" s="677"/>
      <c r="C2309" s="677"/>
      <c r="D2309" s="896"/>
      <c r="E2309" s="677"/>
      <c r="F2309" s="677"/>
      <c r="G2309" s="677"/>
      <c r="H2309" s="897"/>
      <c r="I2309" s="898"/>
      <c r="J2309" s="898"/>
      <c r="K2309" s="899"/>
      <c r="L2309" s="899"/>
      <c r="M2309" s="899"/>
      <c r="N2309" s="899"/>
      <c r="O2309" s="899"/>
      <c r="P2309" s="899"/>
      <c r="Q2309" s="573"/>
      <c r="R2309" s="573"/>
      <c r="S2309" s="573"/>
      <c r="T2309" s="573"/>
      <c r="U2309" s="573"/>
      <c r="V2309" s="573"/>
      <c r="W2309" s="573"/>
      <c r="X2309" s="573"/>
      <c r="Y2309" s="573"/>
      <c r="Z2309" s="573"/>
    </row>
    <row r="2310" spans="1:26" ht="18.75">
      <c r="A2310" s="677"/>
      <c r="B2310" s="677"/>
      <c r="C2310" s="677"/>
      <c r="D2310" s="896"/>
      <c r="E2310" s="677"/>
      <c r="F2310" s="677"/>
      <c r="G2310" s="677"/>
      <c r="H2310" s="897"/>
      <c r="I2310" s="898"/>
      <c r="J2310" s="898"/>
      <c r="K2310" s="899"/>
      <c r="L2310" s="899"/>
      <c r="M2310" s="899"/>
      <c r="N2310" s="899"/>
      <c r="O2310" s="899"/>
      <c r="P2310" s="899"/>
      <c r="Q2310" s="573"/>
      <c r="R2310" s="573"/>
      <c r="S2310" s="573"/>
      <c r="T2310" s="573"/>
      <c r="U2310" s="573"/>
      <c r="V2310" s="573"/>
      <c r="W2310" s="573"/>
      <c r="X2310" s="573"/>
      <c r="Y2310" s="573"/>
      <c r="Z2310" s="573"/>
    </row>
    <row r="2311" spans="1:26" ht="18.75">
      <c r="A2311" s="677"/>
      <c r="B2311" s="677"/>
      <c r="C2311" s="677"/>
      <c r="D2311" s="896"/>
      <c r="E2311" s="677"/>
      <c r="F2311" s="677"/>
      <c r="G2311" s="677"/>
      <c r="H2311" s="897"/>
      <c r="I2311" s="898"/>
      <c r="J2311" s="898"/>
      <c r="K2311" s="899"/>
      <c r="L2311" s="899"/>
      <c r="M2311" s="899"/>
      <c r="N2311" s="899"/>
      <c r="O2311" s="899"/>
      <c r="P2311" s="899"/>
      <c r="Q2311" s="573"/>
      <c r="R2311" s="573"/>
      <c r="S2311" s="573"/>
      <c r="T2311" s="573"/>
      <c r="U2311" s="573"/>
      <c r="V2311" s="573"/>
      <c r="W2311" s="573"/>
      <c r="X2311" s="573"/>
      <c r="Y2311" s="573"/>
      <c r="Z2311" s="573"/>
    </row>
    <row r="2312" spans="1:26" ht="18.75">
      <c r="A2312" s="677"/>
      <c r="B2312" s="677"/>
      <c r="C2312" s="677"/>
      <c r="D2312" s="896"/>
      <c r="E2312" s="677"/>
      <c r="F2312" s="677"/>
      <c r="G2312" s="677"/>
      <c r="H2312" s="897"/>
      <c r="I2312" s="898"/>
      <c r="J2312" s="898"/>
      <c r="K2312" s="899"/>
      <c r="L2312" s="899"/>
      <c r="M2312" s="899"/>
      <c r="N2312" s="899"/>
      <c r="O2312" s="899"/>
      <c r="P2312" s="899"/>
      <c r="Q2312" s="573"/>
      <c r="R2312" s="573"/>
      <c r="S2312" s="573"/>
      <c r="T2312" s="573"/>
      <c r="U2312" s="573"/>
      <c r="V2312" s="573"/>
      <c r="W2312" s="573"/>
      <c r="X2312" s="573"/>
      <c r="Y2312" s="573"/>
      <c r="Z2312" s="573"/>
    </row>
    <row r="2313" spans="1:26" ht="18.75">
      <c r="A2313" s="677"/>
      <c r="B2313" s="677"/>
      <c r="C2313" s="677"/>
      <c r="D2313" s="896"/>
      <c r="E2313" s="677"/>
      <c r="F2313" s="677"/>
      <c r="G2313" s="677"/>
      <c r="H2313" s="897"/>
      <c r="I2313" s="898"/>
      <c r="J2313" s="898"/>
      <c r="K2313" s="899"/>
      <c r="L2313" s="899"/>
      <c r="M2313" s="899"/>
      <c r="N2313" s="899"/>
      <c r="O2313" s="899"/>
      <c r="P2313" s="899"/>
      <c r="Q2313" s="573"/>
      <c r="R2313" s="573"/>
      <c r="S2313" s="573"/>
      <c r="T2313" s="573"/>
      <c r="U2313" s="573"/>
      <c r="V2313" s="573"/>
      <c r="W2313" s="573"/>
      <c r="X2313" s="573"/>
      <c r="Y2313" s="573"/>
      <c r="Z2313" s="573"/>
    </row>
    <row r="2314" spans="1:26" ht="18.75">
      <c r="A2314" s="677"/>
      <c r="B2314" s="677"/>
      <c r="C2314" s="677"/>
      <c r="D2314" s="896"/>
      <c r="E2314" s="677"/>
      <c r="F2314" s="677"/>
      <c r="G2314" s="677"/>
      <c r="H2314" s="897"/>
      <c r="I2314" s="898"/>
      <c r="J2314" s="898"/>
      <c r="K2314" s="899"/>
      <c r="L2314" s="899"/>
      <c r="M2314" s="899"/>
      <c r="N2314" s="899"/>
      <c r="O2314" s="899"/>
      <c r="P2314" s="899"/>
      <c r="Q2314" s="573"/>
      <c r="R2314" s="573"/>
      <c r="S2314" s="573"/>
      <c r="T2314" s="573"/>
      <c r="U2314" s="573"/>
      <c r="V2314" s="573"/>
      <c r="W2314" s="573"/>
      <c r="X2314" s="573"/>
      <c r="Y2314" s="573"/>
      <c r="Z2314" s="573"/>
    </row>
    <row r="2315" spans="1:26" ht="18.75">
      <c r="A2315" s="677"/>
      <c r="B2315" s="677"/>
      <c r="C2315" s="677"/>
      <c r="D2315" s="896"/>
      <c r="E2315" s="677"/>
      <c r="F2315" s="677"/>
      <c r="G2315" s="677"/>
      <c r="H2315" s="897"/>
      <c r="I2315" s="898"/>
      <c r="J2315" s="898"/>
      <c r="K2315" s="899"/>
      <c r="L2315" s="899"/>
      <c r="M2315" s="899"/>
      <c r="N2315" s="899"/>
      <c r="O2315" s="899"/>
      <c r="P2315" s="899"/>
      <c r="Q2315" s="573"/>
      <c r="R2315" s="573"/>
      <c r="S2315" s="573"/>
      <c r="T2315" s="573"/>
      <c r="U2315" s="573"/>
      <c r="V2315" s="573"/>
      <c r="W2315" s="573"/>
      <c r="X2315" s="573"/>
      <c r="Y2315" s="573"/>
      <c r="Z2315" s="573"/>
    </row>
    <row r="2316" spans="1:26" ht="18.75">
      <c r="A2316" s="677"/>
      <c r="B2316" s="677"/>
      <c r="C2316" s="677"/>
      <c r="D2316" s="896"/>
      <c r="E2316" s="677"/>
      <c r="F2316" s="677"/>
      <c r="G2316" s="677"/>
      <c r="H2316" s="897"/>
      <c r="I2316" s="898"/>
      <c r="J2316" s="898"/>
      <c r="K2316" s="899"/>
      <c r="L2316" s="899"/>
      <c r="M2316" s="899"/>
      <c r="N2316" s="899"/>
      <c r="O2316" s="899"/>
      <c r="P2316" s="899"/>
      <c r="Q2316" s="573"/>
      <c r="R2316" s="573"/>
      <c r="S2316" s="573"/>
      <c r="T2316" s="573"/>
      <c r="U2316" s="573"/>
      <c r="V2316" s="573"/>
      <c r="W2316" s="573"/>
      <c r="X2316" s="573"/>
      <c r="Y2316" s="573"/>
      <c r="Z2316" s="573"/>
    </row>
    <row r="2317" spans="1:26" ht="18.75">
      <c r="A2317" s="677"/>
      <c r="B2317" s="677"/>
      <c r="C2317" s="677"/>
      <c r="D2317" s="896"/>
      <c r="E2317" s="677"/>
      <c r="F2317" s="677"/>
      <c r="G2317" s="677"/>
      <c r="H2317" s="897"/>
      <c r="I2317" s="898"/>
      <c r="J2317" s="898"/>
      <c r="K2317" s="899"/>
      <c r="L2317" s="899"/>
      <c r="M2317" s="899"/>
      <c r="N2317" s="899"/>
      <c r="O2317" s="899"/>
      <c r="P2317" s="899"/>
      <c r="Q2317" s="573"/>
      <c r="R2317" s="573"/>
      <c r="S2317" s="573"/>
      <c r="T2317" s="573"/>
      <c r="U2317" s="573"/>
      <c r="V2317" s="573"/>
      <c r="W2317" s="573"/>
      <c r="X2317" s="573"/>
      <c r="Y2317" s="573"/>
      <c r="Z2317" s="573"/>
    </row>
    <row r="2318" spans="1:26" ht="18.75">
      <c r="A2318" s="677"/>
      <c r="B2318" s="677"/>
      <c r="C2318" s="677"/>
      <c r="D2318" s="896"/>
      <c r="E2318" s="677"/>
      <c r="F2318" s="677"/>
      <c r="G2318" s="677"/>
      <c r="H2318" s="897"/>
      <c r="I2318" s="898"/>
      <c r="J2318" s="898"/>
      <c r="K2318" s="899"/>
      <c r="L2318" s="899"/>
      <c r="M2318" s="899"/>
      <c r="N2318" s="899"/>
      <c r="O2318" s="899"/>
      <c r="P2318" s="899"/>
      <c r="Q2318" s="573"/>
      <c r="R2318" s="573"/>
      <c r="S2318" s="573"/>
      <c r="T2318" s="573"/>
      <c r="U2318" s="573"/>
      <c r="V2318" s="573"/>
      <c r="W2318" s="573"/>
      <c r="X2318" s="573"/>
      <c r="Y2318" s="573"/>
      <c r="Z2318" s="573"/>
    </row>
    <row r="2319" spans="1:26" ht="18.75">
      <c r="A2319" s="677"/>
      <c r="B2319" s="677"/>
      <c r="C2319" s="677"/>
      <c r="D2319" s="896"/>
      <c r="E2319" s="677"/>
      <c r="F2319" s="677"/>
      <c r="G2319" s="677"/>
      <c r="H2319" s="897"/>
      <c r="I2319" s="898"/>
      <c r="J2319" s="898"/>
      <c r="K2319" s="899"/>
      <c r="L2319" s="899"/>
      <c r="M2319" s="899"/>
      <c r="N2319" s="899"/>
      <c r="O2319" s="899"/>
      <c r="P2319" s="899"/>
      <c r="Q2319" s="573"/>
      <c r="R2319" s="573"/>
      <c r="S2319" s="573"/>
      <c r="T2319" s="573"/>
      <c r="U2319" s="573"/>
      <c r="V2319" s="573"/>
      <c r="W2319" s="573"/>
      <c r="X2319" s="573"/>
      <c r="Y2319" s="573"/>
      <c r="Z2319" s="573"/>
    </row>
    <row r="2320" spans="1:26" ht="18.75">
      <c r="A2320" s="677"/>
      <c r="B2320" s="677"/>
      <c r="C2320" s="677"/>
      <c r="D2320" s="896"/>
      <c r="E2320" s="677"/>
      <c r="F2320" s="677"/>
      <c r="G2320" s="677"/>
      <c r="H2320" s="897"/>
      <c r="I2320" s="898"/>
      <c r="J2320" s="898"/>
      <c r="K2320" s="899"/>
      <c r="L2320" s="899"/>
      <c r="M2320" s="899"/>
      <c r="N2320" s="899"/>
      <c r="O2320" s="899"/>
      <c r="P2320" s="899"/>
      <c r="Q2320" s="573"/>
      <c r="R2320" s="573"/>
      <c r="S2320" s="573"/>
      <c r="T2320" s="573"/>
      <c r="U2320" s="573"/>
      <c r="V2320" s="573"/>
      <c r="W2320" s="573"/>
      <c r="X2320" s="573"/>
      <c r="Y2320" s="573"/>
      <c r="Z2320" s="573"/>
    </row>
    <row r="2321" spans="1:26" ht="18.75">
      <c r="A2321" s="677"/>
      <c r="B2321" s="677"/>
      <c r="C2321" s="677"/>
      <c r="D2321" s="896"/>
      <c r="E2321" s="677"/>
      <c r="F2321" s="677"/>
      <c r="G2321" s="677"/>
      <c r="H2321" s="897"/>
      <c r="I2321" s="898"/>
      <c r="J2321" s="898"/>
      <c r="K2321" s="899"/>
      <c r="L2321" s="899"/>
      <c r="M2321" s="899"/>
      <c r="N2321" s="899"/>
      <c r="O2321" s="899"/>
      <c r="P2321" s="899"/>
      <c r="Q2321" s="573"/>
      <c r="R2321" s="573"/>
      <c r="S2321" s="573"/>
      <c r="T2321" s="573"/>
      <c r="U2321" s="573"/>
      <c r="V2321" s="573"/>
      <c r="W2321" s="573"/>
      <c r="X2321" s="573"/>
      <c r="Y2321" s="573"/>
      <c r="Z2321" s="573"/>
    </row>
    <row r="2322" spans="1:26" ht="18.75">
      <c r="A2322" s="677"/>
      <c r="B2322" s="677"/>
      <c r="C2322" s="677"/>
      <c r="D2322" s="896"/>
      <c r="E2322" s="677"/>
      <c r="F2322" s="677"/>
      <c r="G2322" s="677"/>
      <c r="H2322" s="897"/>
      <c r="I2322" s="898"/>
      <c r="J2322" s="898"/>
      <c r="K2322" s="899"/>
      <c r="L2322" s="899"/>
      <c r="M2322" s="899"/>
      <c r="N2322" s="899"/>
      <c r="O2322" s="899"/>
      <c r="P2322" s="899"/>
      <c r="Q2322" s="573"/>
      <c r="R2322" s="573"/>
      <c r="S2322" s="573"/>
      <c r="T2322" s="573"/>
      <c r="U2322" s="573"/>
      <c r="V2322" s="573"/>
      <c r="W2322" s="573"/>
      <c r="X2322" s="573"/>
      <c r="Y2322" s="573"/>
      <c r="Z2322" s="573"/>
    </row>
    <row r="2323" spans="1:26" ht="18.75">
      <c r="A2323" s="677"/>
      <c r="B2323" s="677"/>
      <c r="C2323" s="677"/>
      <c r="D2323" s="896"/>
      <c r="E2323" s="677"/>
      <c r="F2323" s="677"/>
      <c r="G2323" s="677"/>
      <c r="H2323" s="897"/>
      <c r="I2323" s="898"/>
      <c r="J2323" s="898"/>
      <c r="K2323" s="899"/>
      <c r="L2323" s="899"/>
      <c r="M2323" s="899"/>
      <c r="N2323" s="899"/>
      <c r="O2323" s="899"/>
      <c r="P2323" s="899"/>
      <c r="Q2323" s="573"/>
      <c r="R2323" s="573"/>
      <c r="S2323" s="573"/>
      <c r="T2323" s="573"/>
      <c r="U2323" s="573"/>
      <c r="V2323" s="573"/>
      <c r="W2323" s="573"/>
      <c r="X2323" s="573"/>
      <c r="Y2323" s="573"/>
      <c r="Z2323" s="573"/>
    </row>
    <row r="2324" spans="1:26" ht="18.75">
      <c r="A2324" s="677"/>
      <c r="B2324" s="677"/>
      <c r="C2324" s="677"/>
      <c r="D2324" s="896"/>
      <c r="E2324" s="677"/>
      <c r="F2324" s="677"/>
      <c r="G2324" s="677"/>
      <c r="H2324" s="897"/>
      <c r="I2324" s="898"/>
      <c r="J2324" s="898"/>
      <c r="K2324" s="899"/>
      <c r="L2324" s="899"/>
      <c r="M2324" s="899"/>
      <c r="N2324" s="899"/>
      <c r="O2324" s="899"/>
      <c r="P2324" s="899"/>
      <c r="Q2324" s="573"/>
      <c r="R2324" s="573"/>
      <c r="S2324" s="573"/>
      <c r="T2324" s="573"/>
      <c r="U2324" s="573"/>
      <c r="V2324" s="573"/>
      <c r="W2324" s="573"/>
      <c r="X2324" s="573"/>
      <c r="Y2324" s="573"/>
      <c r="Z2324" s="573"/>
    </row>
    <row r="2325" spans="1:26" ht="18.75">
      <c r="A2325" s="677"/>
      <c r="B2325" s="677"/>
      <c r="C2325" s="677"/>
      <c r="D2325" s="896"/>
      <c r="E2325" s="677"/>
      <c r="F2325" s="677"/>
      <c r="G2325" s="677"/>
      <c r="H2325" s="897"/>
      <c r="I2325" s="898"/>
      <c r="J2325" s="898"/>
      <c r="K2325" s="899"/>
      <c r="L2325" s="899"/>
      <c r="M2325" s="899"/>
      <c r="N2325" s="899"/>
      <c r="O2325" s="899"/>
      <c r="P2325" s="899"/>
      <c r="Q2325" s="573"/>
      <c r="R2325" s="573"/>
      <c r="S2325" s="573"/>
      <c r="T2325" s="573"/>
      <c r="U2325" s="573"/>
      <c r="V2325" s="573"/>
      <c r="W2325" s="573"/>
      <c r="X2325" s="573"/>
      <c r="Y2325" s="573"/>
      <c r="Z2325" s="573"/>
    </row>
    <row r="2326" spans="1:26" ht="18.75">
      <c r="A2326" s="677"/>
      <c r="B2326" s="677"/>
      <c r="C2326" s="677"/>
      <c r="D2326" s="896"/>
      <c r="E2326" s="677"/>
      <c r="F2326" s="677"/>
      <c r="G2326" s="677"/>
      <c r="H2326" s="897"/>
      <c r="I2326" s="898"/>
      <c r="J2326" s="898"/>
      <c r="K2326" s="899"/>
      <c r="L2326" s="899"/>
      <c r="M2326" s="899"/>
      <c r="N2326" s="899"/>
      <c r="O2326" s="899"/>
      <c r="P2326" s="899"/>
      <c r="Q2326" s="573"/>
      <c r="R2326" s="573"/>
      <c r="S2326" s="573"/>
      <c r="T2326" s="573"/>
      <c r="U2326" s="573"/>
      <c r="V2326" s="573"/>
      <c r="W2326" s="573"/>
      <c r="X2326" s="573"/>
      <c r="Y2326" s="573"/>
      <c r="Z2326" s="573"/>
    </row>
    <row r="2327" spans="1:26" ht="18.75">
      <c r="A2327" s="677"/>
      <c r="B2327" s="677"/>
      <c r="C2327" s="677"/>
      <c r="D2327" s="896"/>
      <c r="E2327" s="677"/>
      <c r="F2327" s="677"/>
      <c r="G2327" s="677"/>
      <c r="H2327" s="897"/>
      <c r="I2327" s="898"/>
      <c r="J2327" s="898"/>
      <c r="K2327" s="899"/>
      <c r="L2327" s="899"/>
      <c r="M2327" s="899"/>
      <c r="N2327" s="899"/>
      <c r="O2327" s="899"/>
      <c r="P2327" s="899"/>
      <c r="Q2327" s="573"/>
      <c r="R2327" s="573"/>
      <c r="S2327" s="573"/>
      <c r="T2327" s="573"/>
      <c r="U2327" s="573"/>
      <c r="V2327" s="573"/>
      <c r="W2327" s="573"/>
      <c r="X2327" s="573"/>
      <c r="Y2327" s="573"/>
      <c r="Z2327" s="573"/>
    </row>
    <row r="2328" spans="1:26" ht="18.75">
      <c r="A2328" s="677"/>
      <c r="B2328" s="677"/>
      <c r="C2328" s="677"/>
      <c r="D2328" s="896"/>
      <c r="E2328" s="677"/>
      <c r="F2328" s="677"/>
      <c r="G2328" s="677"/>
      <c r="H2328" s="897"/>
      <c r="I2328" s="898"/>
      <c r="J2328" s="898"/>
      <c r="K2328" s="899"/>
      <c r="L2328" s="899"/>
      <c r="M2328" s="899"/>
      <c r="N2328" s="899"/>
      <c r="O2328" s="899"/>
      <c r="P2328" s="899"/>
      <c r="Q2328" s="573"/>
      <c r="R2328" s="573"/>
      <c r="S2328" s="573"/>
      <c r="T2328" s="573"/>
      <c r="U2328" s="573"/>
      <c r="V2328" s="573"/>
      <c r="W2328" s="573"/>
      <c r="X2328" s="573"/>
      <c r="Y2328" s="573"/>
      <c r="Z2328" s="573"/>
    </row>
    <row r="2329" spans="1:26" ht="18.75">
      <c r="A2329" s="677"/>
      <c r="B2329" s="677"/>
      <c r="C2329" s="677"/>
      <c r="D2329" s="896"/>
      <c r="E2329" s="677"/>
      <c r="F2329" s="677"/>
      <c r="G2329" s="677"/>
      <c r="H2329" s="897"/>
      <c r="I2329" s="898"/>
      <c r="J2329" s="898"/>
      <c r="K2329" s="899"/>
      <c r="L2329" s="899"/>
      <c r="M2329" s="899"/>
      <c r="N2329" s="899"/>
      <c r="O2329" s="899"/>
      <c r="P2329" s="899"/>
      <c r="Q2329" s="573"/>
      <c r="R2329" s="573"/>
      <c r="S2329" s="573"/>
      <c r="T2329" s="573"/>
      <c r="U2329" s="573"/>
      <c r="V2329" s="573"/>
      <c r="W2329" s="573"/>
      <c r="X2329" s="573"/>
      <c r="Y2329" s="573"/>
      <c r="Z2329" s="573"/>
    </row>
    <row r="2330" spans="1:26" ht="18.75">
      <c r="A2330" s="677"/>
      <c r="B2330" s="677"/>
      <c r="C2330" s="677"/>
      <c r="D2330" s="896"/>
      <c r="E2330" s="677"/>
      <c r="F2330" s="677"/>
      <c r="G2330" s="677"/>
      <c r="H2330" s="897"/>
      <c r="I2330" s="898"/>
      <c r="J2330" s="898"/>
      <c r="K2330" s="899"/>
      <c r="L2330" s="899"/>
      <c r="M2330" s="899"/>
      <c r="N2330" s="899"/>
      <c r="O2330" s="899"/>
      <c r="P2330" s="899"/>
      <c r="Q2330" s="573"/>
      <c r="R2330" s="573"/>
      <c r="S2330" s="573"/>
      <c r="T2330" s="573"/>
      <c r="U2330" s="573"/>
      <c r="V2330" s="573"/>
      <c r="W2330" s="573"/>
      <c r="X2330" s="573"/>
      <c r="Y2330" s="573"/>
      <c r="Z2330" s="573"/>
    </row>
    <row r="2331" spans="1:26" ht="18.75">
      <c r="A2331" s="677"/>
      <c r="B2331" s="677"/>
      <c r="C2331" s="677"/>
      <c r="D2331" s="896"/>
      <c r="E2331" s="677"/>
      <c r="F2331" s="677"/>
      <c r="G2331" s="677"/>
      <c r="H2331" s="897"/>
      <c r="I2331" s="898"/>
      <c r="J2331" s="898"/>
      <c r="K2331" s="899"/>
      <c r="L2331" s="899"/>
      <c r="M2331" s="899"/>
      <c r="N2331" s="899"/>
      <c r="O2331" s="899"/>
      <c r="P2331" s="899"/>
      <c r="Q2331" s="573"/>
      <c r="R2331" s="573"/>
      <c r="S2331" s="573"/>
      <c r="T2331" s="573"/>
      <c r="U2331" s="573"/>
      <c r="V2331" s="573"/>
      <c r="W2331" s="573"/>
      <c r="X2331" s="573"/>
      <c r="Y2331" s="573"/>
      <c r="Z2331" s="573"/>
    </row>
    <row r="2332" spans="1:26" ht="18.75">
      <c r="A2332" s="677"/>
      <c r="B2332" s="677"/>
      <c r="C2332" s="677"/>
      <c r="D2332" s="896"/>
      <c r="E2332" s="677"/>
      <c r="F2332" s="677"/>
      <c r="G2332" s="677"/>
      <c r="H2332" s="897"/>
      <c r="I2332" s="898"/>
      <c r="J2332" s="898"/>
      <c r="K2332" s="899"/>
      <c r="L2332" s="899"/>
      <c r="M2332" s="899"/>
      <c r="N2332" s="899"/>
      <c r="O2332" s="899"/>
      <c r="P2332" s="899"/>
      <c r="Q2332" s="573"/>
      <c r="R2332" s="573"/>
      <c r="S2332" s="573"/>
      <c r="T2332" s="573"/>
      <c r="U2332" s="573"/>
      <c r="V2332" s="573"/>
      <c r="W2332" s="573"/>
      <c r="X2332" s="573"/>
      <c r="Y2332" s="573"/>
      <c r="Z2332" s="573"/>
    </row>
    <row r="2333" spans="1:26" ht="18.75">
      <c r="A2333" s="677"/>
      <c r="B2333" s="677"/>
      <c r="C2333" s="677"/>
      <c r="D2333" s="896"/>
      <c r="E2333" s="677"/>
      <c r="F2333" s="677"/>
      <c r="G2333" s="677"/>
      <c r="H2333" s="897"/>
      <c r="I2333" s="898"/>
      <c r="J2333" s="898"/>
      <c r="K2333" s="899"/>
      <c r="L2333" s="899"/>
      <c r="M2333" s="899"/>
      <c r="N2333" s="899"/>
      <c r="O2333" s="899"/>
      <c r="P2333" s="899"/>
      <c r="Q2333" s="573"/>
      <c r="R2333" s="573"/>
      <c r="S2333" s="573"/>
      <c r="T2333" s="573"/>
      <c r="U2333" s="573"/>
      <c r="V2333" s="573"/>
      <c r="W2333" s="573"/>
      <c r="X2333" s="573"/>
      <c r="Y2333" s="573"/>
      <c r="Z2333" s="573"/>
    </row>
    <row r="2334" spans="1:26" ht="18.75">
      <c r="A2334" s="677"/>
      <c r="B2334" s="677"/>
      <c r="C2334" s="677"/>
      <c r="D2334" s="896"/>
      <c r="E2334" s="677"/>
      <c r="F2334" s="677"/>
      <c r="G2334" s="677"/>
      <c r="H2334" s="897"/>
      <c r="I2334" s="898"/>
      <c r="J2334" s="898"/>
      <c r="K2334" s="899"/>
      <c r="L2334" s="899"/>
      <c r="M2334" s="899"/>
      <c r="N2334" s="899"/>
      <c r="O2334" s="899"/>
      <c r="P2334" s="899"/>
      <c r="Q2334" s="573"/>
      <c r="R2334" s="573"/>
      <c r="S2334" s="573"/>
      <c r="T2334" s="573"/>
      <c r="U2334" s="573"/>
      <c r="V2334" s="573"/>
      <c r="W2334" s="573"/>
      <c r="X2334" s="573"/>
      <c r="Y2334" s="573"/>
      <c r="Z2334" s="573"/>
    </row>
    <row r="2335" spans="1:26" ht="18.75">
      <c r="A2335" s="677"/>
      <c r="B2335" s="677"/>
      <c r="C2335" s="677"/>
      <c r="D2335" s="896"/>
      <c r="E2335" s="677"/>
      <c r="F2335" s="677"/>
      <c r="G2335" s="677"/>
      <c r="H2335" s="897"/>
      <c r="I2335" s="898"/>
      <c r="J2335" s="898"/>
      <c r="K2335" s="899"/>
      <c r="L2335" s="899"/>
      <c r="M2335" s="899"/>
      <c r="N2335" s="899"/>
      <c r="O2335" s="899"/>
      <c r="P2335" s="899"/>
      <c r="Q2335" s="573"/>
      <c r="R2335" s="573"/>
      <c r="S2335" s="573"/>
      <c r="T2335" s="573"/>
      <c r="U2335" s="573"/>
      <c r="V2335" s="573"/>
      <c r="W2335" s="573"/>
      <c r="X2335" s="573"/>
      <c r="Y2335" s="573"/>
      <c r="Z2335" s="573"/>
    </row>
    <row r="2336" spans="1:26" ht="18.75">
      <c r="A2336" s="677"/>
      <c r="B2336" s="677"/>
      <c r="C2336" s="677"/>
      <c r="D2336" s="896"/>
      <c r="E2336" s="677"/>
      <c r="F2336" s="677"/>
      <c r="G2336" s="677"/>
      <c r="H2336" s="897"/>
      <c r="I2336" s="898"/>
      <c r="J2336" s="898"/>
      <c r="K2336" s="899"/>
      <c r="L2336" s="899"/>
      <c r="M2336" s="899"/>
      <c r="N2336" s="899"/>
      <c r="O2336" s="899"/>
      <c r="P2336" s="899"/>
      <c r="Q2336" s="573"/>
      <c r="R2336" s="573"/>
      <c r="S2336" s="573"/>
      <c r="T2336" s="573"/>
      <c r="U2336" s="573"/>
      <c r="V2336" s="573"/>
      <c r="W2336" s="573"/>
      <c r="X2336" s="573"/>
      <c r="Y2336" s="573"/>
      <c r="Z2336" s="573"/>
    </row>
    <row r="2337" spans="1:26" ht="18.75">
      <c r="A2337" s="677"/>
      <c r="B2337" s="677"/>
      <c r="C2337" s="677"/>
      <c r="D2337" s="896"/>
      <c r="E2337" s="677"/>
      <c r="F2337" s="677"/>
      <c r="G2337" s="677"/>
      <c r="H2337" s="897"/>
      <c r="I2337" s="898"/>
      <c r="J2337" s="898"/>
      <c r="K2337" s="899"/>
      <c r="L2337" s="899"/>
      <c r="M2337" s="899"/>
      <c r="N2337" s="899"/>
      <c r="O2337" s="899"/>
      <c r="P2337" s="899"/>
      <c r="Q2337" s="573"/>
      <c r="R2337" s="573"/>
      <c r="S2337" s="573"/>
      <c r="T2337" s="573"/>
      <c r="U2337" s="573"/>
      <c r="V2337" s="573"/>
      <c r="W2337" s="573"/>
      <c r="X2337" s="573"/>
      <c r="Y2337" s="573"/>
      <c r="Z2337" s="573"/>
    </row>
    <row r="2338" spans="1:26" ht="18.75">
      <c r="A2338" s="677"/>
      <c r="B2338" s="677"/>
      <c r="C2338" s="677"/>
      <c r="D2338" s="896"/>
      <c r="E2338" s="677"/>
      <c r="F2338" s="677"/>
      <c r="G2338" s="677"/>
      <c r="H2338" s="897"/>
      <c r="I2338" s="898"/>
      <c r="J2338" s="898"/>
      <c r="K2338" s="899"/>
      <c r="L2338" s="899"/>
      <c r="M2338" s="899"/>
      <c r="N2338" s="899"/>
      <c r="O2338" s="899"/>
      <c r="P2338" s="899"/>
      <c r="Q2338" s="573"/>
      <c r="R2338" s="573"/>
      <c r="S2338" s="573"/>
      <c r="T2338" s="573"/>
      <c r="U2338" s="573"/>
      <c r="V2338" s="573"/>
      <c r="W2338" s="573"/>
      <c r="X2338" s="573"/>
      <c r="Y2338" s="573"/>
      <c r="Z2338" s="573"/>
    </row>
    <row r="2339" spans="1:26" ht="18.75">
      <c r="A2339" s="677"/>
      <c r="B2339" s="677"/>
      <c r="C2339" s="677"/>
      <c r="D2339" s="896"/>
      <c r="E2339" s="677"/>
      <c r="F2339" s="677"/>
      <c r="G2339" s="677"/>
      <c r="H2339" s="897"/>
      <c r="I2339" s="898"/>
      <c r="J2339" s="898"/>
      <c r="K2339" s="899"/>
      <c r="L2339" s="899"/>
      <c r="M2339" s="899"/>
      <c r="N2339" s="899"/>
      <c r="O2339" s="899"/>
      <c r="P2339" s="899"/>
      <c r="Q2339" s="573"/>
      <c r="R2339" s="573"/>
      <c r="S2339" s="573"/>
      <c r="T2339" s="573"/>
      <c r="U2339" s="573"/>
      <c r="V2339" s="573"/>
      <c r="W2339" s="573"/>
      <c r="X2339" s="573"/>
      <c r="Y2339" s="573"/>
      <c r="Z2339" s="573"/>
    </row>
    <row r="2340" spans="1:26" ht="18.75">
      <c r="A2340" s="677"/>
      <c r="B2340" s="677"/>
      <c r="C2340" s="677"/>
      <c r="D2340" s="896"/>
      <c r="E2340" s="677"/>
      <c r="F2340" s="677"/>
      <c r="G2340" s="677"/>
      <c r="H2340" s="897"/>
      <c r="I2340" s="898"/>
      <c r="J2340" s="898"/>
      <c r="K2340" s="899"/>
      <c r="L2340" s="899"/>
      <c r="M2340" s="899"/>
      <c r="N2340" s="899"/>
      <c r="O2340" s="899"/>
      <c r="P2340" s="899"/>
      <c r="Q2340" s="573"/>
      <c r="R2340" s="573"/>
      <c r="S2340" s="573"/>
      <c r="T2340" s="573"/>
      <c r="U2340" s="573"/>
      <c r="V2340" s="573"/>
      <c r="W2340" s="573"/>
      <c r="X2340" s="573"/>
      <c r="Y2340" s="573"/>
      <c r="Z2340" s="573"/>
    </row>
    <row r="2341" spans="1:26" ht="18.75">
      <c r="A2341" s="677"/>
      <c r="B2341" s="677"/>
      <c r="C2341" s="677"/>
      <c r="D2341" s="896"/>
      <c r="E2341" s="677"/>
      <c r="F2341" s="677"/>
      <c r="G2341" s="677"/>
      <c r="H2341" s="897"/>
      <c r="I2341" s="898"/>
      <c r="J2341" s="898"/>
      <c r="K2341" s="899"/>
      <c r="L2341" s="899"/>
      <c r="M2341" s="899"/>
      <c r="N2341" s="899"/>
      <c r="O2341" s="899"/>
      <c r="P2341" s="899"/>
      <c r="Q2341" s="573"/>
      <c r="R2341" s="573"/>
      <c r="S2341" s="573"/>
      <c r="T2341" s="573"/>
      <c r="U2341" s="573"/>
      <c r="V2341" s="573"/>
      <c r="W2341" s="573"/>
      <c r="X2341" s="573"/>
      <c r="Y2341" s="573"/>
      <c r="Z2341" s="573"/>
    </row>
    <row r="2342" spans="1:26" ht="18.75">
      <c r="A2342" s="677"/>
      <c r="B2342" s="677"/>
      <c r="C2342" s="677"/>
      <c r="D2342" s="896"/>
      <c r="E2342" s="677"/>
      <c r="F2342" s="677"/>
      <c r="G2342" s="677"/>
      <c r="H2342" s="897"/>
      <c r="I2342" s="898"/>
      <c r="J2342" s="898"/>
      <c r="K2342" s="899"/>
      <c r="L2342" s="899"/>
      <c r="M2342" s="899"/>
      <c r="N2342" s="899"/>
      <c r="O2342" s="899"/>
      <c r="P2342" s="899"/>
      <c r="Q2342" s="573"/>
      <c r="R2342" s="573"/>
      <c r="S2342" s="573"/>
      <c r="T2342" s="573"/>
      <c r="U2342" s="573"/>
      <c r="V2342" s="573"/>
      <c r="W2342" s="573"/>
      <c r="X2342" s="573"/>
      <c r="Y2342" s="573"/>
      <c r="Z2342" s="573"/>
    </row>
    <row r="2343" spans="1:26" ht="18.75">
      <c r="A2343" s="677"/>
      <c r="B2343" s="677"/>
      <c r="C2343" s="677"/>
      <c r="D2343" s="896"/>
      <c r="E2343" s="677"/>
      <c r="F2343" s="677"/>
      <c r="G2343" s="677"/>
      <c r="H2343" s="897"/>
      <c r="I2343" s="898"/>
      <c r="J2343" s="898"/>
      <c r="K2343" s="899"/>
      <c r="L2343" s="899"/>
      <c r="M2343" s="899"/>
      <c r="N2343" s="899"/>
      <c r="O2343" s="899"/>
      <c r="P2343" s="899"/>
      <c r="Q2343" s="573"/>
      <c r="R2343" s="573"/>
      <c r="S2343" s="573"/>
      <c r="T2343" s="573"/>
      <c r="U2343" s="573"/>
      <c r="V2343" s="573"/>
      <c r="W2343" s="573"/>
      <c r="X2343" s="573"/>
      <c r="Y2343" s="573"/>
      <c r="Z2343" s="573"/>
    </row>
    <row r="2344" spans="1:26" ht="18.75">
      <c r="A2344" s="677"/>
      <c r="B2344" s="677"/>
      <c r="C2344" s="677"/>
      <c r="D2344" s="896"/>
      <c r="E2344" s="677"/>
      <c r="F2344" s="677"/>
      <c r="G2344" s="677"/>
      <c r="H2344" s="897"/>
      <c r="I2344" s="898"/>
      <c r="J2344" s="898"/>
      <c r="K2344" s="899"/>
      <c r="L2344" s="899"/>
      <c r="M2344" s="899"/>
      <c r="N2344" s="899"/>
      <c r="O2344" s="899"/>
      <c r="P2344" s="899"/>
      <c r="Q2344" s="573"/>
      <c r="R2344" s="573"/>
      <c r="S2344" s="573"/>
      <c r="T2344" s="573"/>
      <c r="U2344" s="573"/>
      <c r="V2344" s="573"/>
      <c r="W2344" s="573"/>
      <c r="X2344" s="573"/>
      <c r="Y2344" s="573"/>
      <c r="Z2344" s="573"/>
    </row>
    <row r="2345" spans="1:26" ht="18.75">
      <c r="A2345" s="677"/>
      <c r="B2345" s="677"/>
      <c r="C2345" s="677"/>
      <c r="D2345" s="896"/>
      <c r="E2345" s="677"/>
      <c r="F2345" s="677"/>
      <c r="G2345" s="677"/>
      <c r="H2345" s="897"/>
      <c r="I2345" s="898"/>
      <c r="J2345" s="898"/>
      <c r="K2345" s="899"/>
      <c r="L2345" s="899"/>
      <c r="M2345" s="899"/>
      <c r="N2345" s="899"/>
      <c r="O2345" s="899"/>
      <c r="P2345" s="899"/>
      <c r="Q2345" s="573"/>
      <c r="R2345" s="573"/>
      <c r="S2345" s="573"/>
      <c r="T2345" s="573"/>
      <c r="U2345" s="573"/>
      <c r="V2345" s="573"/>
      <c r="W2345" s="573"/>
      <c r="X2345" s="573"/>
      <c r="Y2345" s="573"/>
      <c r="Z2345" s="573"/>
    </row>
    <row r="2346" spans="1:26" ht="18.75">
      <c r="A2346" s="677"/>
      <c r="B2346" s="677"/>
      <c r="C2346" s="677"/>
      <c r="D2346" s="896"/>
      <c r="E2346" s="677"/>
      <c r="F2346" s="677"/>
      <c r="G2346" s="677"/>
      <c r="H2346" s="897"/>
      <c r="I2346" s="898"/>
      <c r="J2346" s="898"/>
      <c r="K2346" s="899"/>
      <c r="L2346" s="899"/>
      <c r="M2346" s="899"/>
      <c r="N2346" s="899"/>
      <c r="O2346" s="899"/>
      <c r="P2346" s="899"/>
      <c r="Q2346" s="573"/>
      <c r="R2346" s="573"/>
      <c r="S2346" s="573"/>
      <c r="T2346" s="573"/>
      <c r="U2346" s="573"/>
      <c r="V2346" s="573"/>
      <c r="W2346" s="573"/>
      <c r="X2346" s="573"/>
      <c r="Y2346" s="573"/>
      <c r="Z2346" s="573"/>
    </row>
    <row r="2347" spans="1:26" ht="18.75">
      <c r="A2347" s="677"/>
      <c r="B2347" s="677"/>
      <c r="C2347" s="677"/>
      <c r="D2347" s="896"/>
      <c r="E2347" s="677"/>
      <c r="F2347" s="677"/>
      <c r="G2347" s="677"/>
      <c r="H2347" s="897"/>
      <c r="I2347" s="898"/>
      <c r="J2347" s="898"/>
      <c r="K2347" s="899"/>
      <c r="L2347" s="899"/>
      <c r="M2347" s="899"/>
      <c r="N2347" s="899"/>
      <c r="O2347" s="899"/>
      <c r="P2347" s="899"/>
      <c r="Q2347" s="573"/>
      <c r="R2347" s="573"/>
      <c r="S2347" s="573"/>
      <c r="T2347" s="573"/>
      <c r="U2347" s="573"/>
      <c r="V2347" s="573"/>
      <c r="W2347" s="573"/>
      <c r="X2347" s="573"/>
      <c r="Y2347" s="573"/>
      <c r="Z2347" s="573"/>
    </row>
    <row r="2348" spans="1:26" ht="18.75">
      <c r="A2348" s="677"/>
      <c r="B2348" s="677"/>
      <c r="C2348" s="677"/>
      <c r="D2348" s="896"/>
      <c r="E2348" s="677"/>
      <c r="F2348" s="677"/>
      <c r="G2348" s="677"/>
      <c r="H2348" s="897"/>
      <c r="I2348" s="898"/>
      <c r="J2348" s="898"/>
      <c r="K2348" s="899"/>
      <c r="L2348" s="899"/>
      <c r="M2348" s="899"/>
      <c r="N2348" s="899"/>
      <c r="O2348" s="899"/>
      <c r="P2348" s="899"/>
      <c r="Q2348" s="573"/>
      <c r="R2348" s="573"/>
      <c r="S2348" s="573"/>
      <c r="T2348" s="573"/>
      <c r="U2348" s="573"/>
      <c r="V2348" s="573"/>
      <c r="W2348" s="573"/>
      <c r="X2348" s="573"/>
      <c r="Y2348" s="573"/>
      <c r="Z2348" s="573"/>
    </row>
    <row r="2349" spans="1:26" ht="18.75">
      <c r="A2349" s="677"/>
      <c r="B2349" s="677"/>
      <c r="C2349" s="677"/>
      <c r="D2349" s="896"/>
      <c r="E2349" s="677"/>
      <c r="F2349" s="677"/>
      <c r="G2349" s="677"/>
      <c r="H2349" s="897"/>
      <c r="I2349" s="898"/>
      <c r="J2349" s="898"/>
      <c r="K2349" s="899"/>
      <c r="L2349" s="899"/>
      <c r="M2349" s="899"/>
      <c r="N2349" s="899"/>
      <c r="O2349" s="899"/>
      <c r="P2349" s="899"/>
      <c r="Q2349" s="573"/>
      <c r="R2349" s="573"/>
      <c r="S2349" s="573"/>
      <c r="T2349" s="573"/>
      <c r="U2349" s="573"/>
      <c r="V2349" s="573"/>
      <c r="W2349" s="573"/>
      <c r="X2349" s="573"/>
      <c r="Y2349" s="573"/>
      <c r="Z2349" s="573"/>
    </row>
    <row r="2350" spans="1:26" ht="18.75">
      <c r="A2350" s="677"/>
      <c r="B2350" s="677"/>
      <c r="C2350" s="677"/>
      <c r="D2350" s="896"/>
      <c r="E2350" s="677"/>
      <c r="F2350" s="677"/>
      <c r="G2350" s="677"/>
      <c r="H2350" s="897"/>
      <c r="I2350" s="898"/>
      <c r="J2350" s="898"/>
      <c r="K2350" s="899"/>
      <c r="L2350" s="899"/>
      <c r="M2350" s="899"/>
      <c r="N2350" s="899"/>
      <c r="O2350" s="899"/>
      <c r="P2350" s="899"/>
      <c r="Q2350" s="573"/>
      <c r="R2350" s="573"/>
      <c r="S2350" s="573"/>
      <c r="T2350" s="573"/>
      <c r="U2350" s="573"/>
      <c r="V2350" s="573"/>
      <c r="W2350" s="573"/>
      <c r="X2350" s="573"/>
      <c r="Y2350" s="573"/>
      <c r="Z2350" s="573"/>
    </row>
    <row r="2351" spans="1:26" ht="18.75">
      <c r="A2351" s="677"/>
      <c r="B2351" s="677"/>
      <c r="C2351" s="677"/>
      <c r="D2351" s="896"/>
      <c r="E2351" s="677"/>
      <c r="F2351" s="677"/>
      <c r="G2351" s="677"/>
      <c r="H2351" s="897"/>
      <c r="I2351" s="898"/>
      <c r="J2351" s="898"/>
      <c r="K2351" s="899"/>
      <c r="L2351" s="899"/>
      <c r="M2351" s="899"/>
      <c r="N2351" s="899"/>
      <c r="O2351" s="899"/>
      <c r="P2351" s="899"/>
      <c r="Q2351" s="573"/>
      <c r="R2351" s="573"/>
      <c r="S2351" s="573"/>
      <c r="T2351" s="573"/>
      <c r="U2351" s="573"/>
      <c r="V2351" s="573"/>
      <c r="W2351" s="573"/>
      <c r="X2351" s="573"/>
      <c r="Y2351" s="573"/>
      <c r="Z2351" s="573"/>
    </row>
    <row r="2352" spans="1:26" ht="18.75">
      <c r="A2352" s="677"/>
      <c r="B2352" s="677"/>
      <c r="C2352" s="677"/>
      <c r="D2352" s="896"/>
      <c r="E2352" s="677"/>
      <c r="F2352" s="677"/>
      <c r="G2352" s="677"/>
      <c r="H2352" s="897"/>
      <c r="I2352" s="898"/>
      <c r="J2352" s="898"/>
      <c r="K2352" s="899"/>
      <c r="L2352" s="899"/>
      <c r="M2352" s="899"/>
      <c r="N2352" s="899"/>
      <c r="O2352" s="899"/>
      <c r="P2352" s="899"/>
      <c r="Q2352" s="573"/>
      <c r="R2352" s="573"/>
      <c r="S2352" s="573"/>
      <c r="T2352" s="573"/>
      <c r="U2352" s="573"/>
      <c r="V2352" s="573"/>
      <c r="W2352" s="573"/>
      <c r="X2352" s="573"/>
      <c r="Y2352" s="573"/>
      <c r="Z2352" s="573"/>
    </row>
    <row r="2353" spans="1:26" ht="18.75">
      <c r="A2353" s="677"/>
      <c r="B2353" s="677"/>
      <c r="C2353" s="677"/>
      <c r="D2353" s="896"/>
      <c r="E2353" s="677"/>
      <c r="F2353" s="677"/>
      <c r="G2353" s="677"/>
      <c r="H2353" s="897"/>
      <c r="I2353" s="898"/>
      <c r="J2353" s="898"/>
      <c r="K2353" s="899"/>
      <c r="L2353" s="899"/>
      <c r="M2353" s="899"/>
      <c r="N2353" s="899"/>
      <c r="O2353" s="899"/>
      <c r="P2353" s="899"/>
      <c r="Q2353" s="573"/>
      <c r="R2353" s="573"/>
      <c r="S2353" s="573"/>
      <c r="T2353" s="573"/>
      <c r="U2353" s="573"/>
      <c r="V2353" s="573"/>
      <c r="W2353" s="573"/>
      <c r="X2353" s="573"/>
      <c r="Y2353" s="573"/>
      <c r="Z2353" s="573"/>
    </row>
    <row r="2354" spans="1:26" ht="18.75">
      <c r="A2354" s="677"/>
      <c r="B2354" s="677"/>
      <c r="C2354" s="677"/>
      <c r="D2354" s="896"/>
      <c r="E2354" s="677"/>
      <c r="F2354" s="677"/>
      <c r="G2354" s="677"/>
      <c r="H2354" s="897"/>
      <c r="I2354" s="898"/>
      <c r="J2354" s="898"/>
      <c r="K2354" s="899"/>
      <c r="L2354" s="899"/>
      <c r="M2354" s="899"/>
      <c r="N2354" s="899"/>
      <c r="O2354" s="899"/>
      <c r="P2354" s="899"/>
      <c r="Q2354" s="573"/>
      <c r="R2354" s="573"/>
      <c r="S2354" s="573"/>
      <c r="T2354" s="573"/>
      <c r="U2354" s="573"/>
      <c r="V2354" s="573"/>
      <c r="W2354" s="573"/>
      <c r="X2354" s="573"/>
      <c r="Y2354" s="573"/>
      <c r="Z2354" s="573"/>
    </row>
    <row r="2355" spans="1:26" ht="18.75">
      <c r="A2355" s="677"/>
      <c r="B2355" s="677"/>
      <c r="C2355" s="677"/>
      <c r="D2355" s="896"/>
      <c r="E2355" s="677"/>
      <c r="F2355" s="677"/>
      <c r="G2355" s="677"/>
      <c r="H2355" s="897"/>
      <c r="I2355" s="898"/>
      <c r="J2355" s="898"/>
      <c r="K2355" s="899"/>
      <c r="L2355" s="899"/>
      <c r="M2355" s="899"/>
      <c r="N2355" s="899"/>
      <c r="O2355" s="899"/>
      <c r="P2355" s="899"/>
      <c r="Q2355" s="573"/>
      <c r="R2355" s="573"/>
      <c r="S2355" s="573"/>
      <c r="T2355" s="573"/>
      <c r="U2355" s="573"/>
      <c r="V2355" s="573"/>
      <c r="W2355" s="573"/>
      <c r="X2355" s="573"/>
      <c r="Y2355" s="573"/>
      <c r="Z2355" s="573"/>
    </row>
    <row r="2356" spans="1:26" ht="18.75">
      <c r="A2356" s="677"/>
      <c r="B2356" s="677"/>
      <c r="C2356" s="677"/>
      <c r="D2356" s="896"/>
      <c r="E2356" s="677"/>
      <c r="F2356" s="677"/>
      <c r="G2356" s="677"/>
      <c r="H2356" s="897"/>
      <c r="I2356" s="898"/>
      <c r="J2356" s="898"/>
      <c r="K2356" s="899"/>
      <c r="L2356" s="899"/>
      <c r="M2356" s="899"/>
      <c r="N2356" s="899"/>
      <c r="O2356" s="899"/>
      <c r="P2356" s="899"/>
      <c r="Q2356" s="573"/>
      <c r="R2356" s="573"/>
      <c r="S2356" s="573"/>
      <c r="T2356" s="573"/>
      <c r="U2356" s="573"/>
      <c r="V2356" s="573"/>
      <c r="W2356" s="573"/>
      <c r="X2356" s="573"/>
      <c r="Y2356" s="573"/>
      <c r="Z2356" s="573"/>
    </row>
    <row r="2357" spans="1:26" ht="18.75">
      <c r="A2357" s="677"/>
      <c r="B2357" s="677"/>
      <c r="C2357" s="677"/>
      <c r="D2357" s="896"/>
      <c r="E2357" s="677"/>
      <c r="F2357" s="677"/>
      <c r="G2357" s="677"/>
      <c r="H2357" s="897"/>
      <c r="I2357" s="898"/>
      <c r="J2357" s="898"/>
      <c r="K2357" s="899"/>
      <c r="L2357" s="899"/>
      <c r="M2357" s="899"/>
      <c r="N2357" s="899"/>
      <c r="O2357" s="899"/>
      <c r="P2357" s="899"/>
      <c r="Q2357" s="573"/>
      <c r="R2357" s="573"/>
      <c r="S2357" s="573"/>
      <c r="T2357" s="573"/>
      <c r="U2357" s="573"/>
      <c r="V2357" s="573"/>
      <c r="W2357" s="573"/>
      <c r="X2357" s="573"/>
      <c r="Y2357" s="573"/>
      <c r="Z2357" s="573"/>
    </row>
    <row r="2358" spans="1:26" ht="18.75">
      <c r="A2358" s="677"/>
      <c r="B2358" s="677"/>
      <c r="C2358" s="677"/>
      <c r="D2358" s="896"/>
      <c r="E2358" s="677"/>
      <c r="F2358" s="677"/>
      <c r="G2358" s="677"/>
      <c r="H2358" s="897"/>
      <c r="I2358" s="898"/>
      <c r="J2358" s="898"/>
      <c r="K2358" s="899"/>
      <c r="L2358" s="899"/>
      <c r="M2358" s="899"/>
      <c r="N2358" s="899"/>
      <c r="O2358" s="899"/>
      <c r="P2358" s="899"/>
      <c r="Q2358" s="573"/>
      <c r="R2358" s="573"/>
      <c r="S2358" s="573"/>
      <c r="T2358" s="573"/>
      <c r="U2358" s="573"/>
      <c r="V2358" s="573"/>
      <c r="W2358" s="573"/>
      <c r="X2358" s="573"/>
      <c r="Y2358" s="573"/>
      <c r="Z2358" s="573"/>
    </row>
    <row r="2359" spans="1:26" ht="18.75">
      <c r="A2359" s="677"/>
      <c r="B2359" s="677"/>
      <c r="C2359" s="677"/>
      <c r="D2359" s="896"/>
      <c r="E2359" s="677"/>
      <c r="F2359" s="677"/>
      <c r="G2359" s="677"/>
      <c r="H2359" s="897"/>
      <c r="I2359" s="898"/>
      <c r="J2359" s="898"/>
      <c r="K2359" s="899"/>
      <c r="L2359" s="899"/>
      <c r="M2359" s="899"/>
      <c r="N2359" s="899"/>
      <c r="O2359" s="899"/>
      <c r="P2359" s="899"/>
      <c r="Q2359" s="573"/>
      <c r="R2359" s="573"/>
      <c r="S2359" s="573"/>
      <c r="T2359" s="573"/>
      <c r="U2359" s="573"/>
      <c r="V2359" s="573"/>
      <c r="W2359" s="573"/>
      <c r="X2359" s="573"/>
      <c r="Y2359" s="573"/>
      <c r="Z2359" s="573"/>
    </row>
    <row r="2360" spans="1:26" ht="18.75">
      <c r="A2360" s="677"/>
      <c r="B2360" s="677"/>
      <c r="C2360" s="677"/>
      <c r="D2360" s="896"/>
      <c r="E2360" s="677"/>
      <c r="F2360" s="677"/>
      <c r="G2360" s="677"/>
      <c r="H2360" s="897"/>
      <c r="I2360" s="898"/>
      <c r="J2360" s="898"/>
      <c r="K2360" s="899"/>
      <c r="L2360" s="899"/>
      <c r="M2360" s="899"/>
      <c r="N2360" s="899"/>
      <c r="O2360" s="899"/>
      <c r="P2360" s="899"/>
      <c r="Q2360" s="573"/>
      <c r="R2360" s="573"/>
      <c r="S2360" s="573"/>
      <c r="T2360" s="573"/>
      <c r="U2360" s="573"/>
      <c r="V2360" s="573"/>
      <c r="W2360" s="573"/>
      <c r="X2360" s="573"/>
      <c r="Y2360" s="573"/>
      <c r="Z2360" s="573"/>
    </row>
    <row r="2361" spans="1:26" ht="18.75">
      <c r="A2361" s="677"/>
      <c r="B2361" s="677"/>
      <c r="C2361" s="677"/>
      <c r="D2361" s="896"/>
      <c r="E2361" s="677"/>
      <c r="F2361" s="677"/>
      <c r="G2361" s="677"/>
      <c r="H2361" s="897"/>
      <c r="I2361" s="898"/>
      <c r="J2361" s="898"/>
      <c r="K2361" s="899"/>
      <c r="L2361" s="899"/>
      <c r="M2361" s="899"/>
      <c r="N2361" s="899"/>
      <c r="O2361" s="899"/>
      <c r="P2361" s="899"/>
      <c r="Q2361" s="573"/>
      <c r="R2361" s="573"/>
      <c r="S2361" s="573"/>
      <c r="T2361" s="573"/>
      <c r="U2361" s="573"/>
      <c r="V2361" s="573"/>
      <c r="W2361" s="573"/>
      <c r="X2361" s="573"/>
      <c r="Y2361" s="573"/>
      <c r="Z2361" s="573"/>
    </row>
    <row r="2362" spans="1:26" ht="18.75">
      <c r="A2362" s="677"/>
      <c r="B2362" s="677"/>
      <c r="C2362" s="677"/>
      <c r="D2362" s="896"/>
      <c r="E2362" s="677"/>
      <c r="F2362" s="677"/>
      <c r="G2362" s="677"/>
      <c r="H2362" s="897"/>
      <c r="I2362" s="898"/>
      <c r="J2362" s="898"/>
      <c r="K2362" s="899"/>
      <c r="L2362" s="899"/>
      <c r="M2362" s="899"/>
      <c r="N2362" s="899"/>
      <c r="O2362" s="899"/>
      <c r="P2362" s="899"/>
      <c r="Q2362" s="573"/>
      <c r="R2362" s="573"/>
      <c r="S2362" s="573"/>
      <c r="T2362" s="573"/>
      <c r="U2362" s="573"/>
      <c r="V2362" s="573"/>
      <c r="W2362" s="573"/>
      <c r="X2362" s="573"/>
      <c r="Y2362" s="573"/>
      <c r="Z2362" s="573"/>
    </row>
    <row r="2363" spans="1:26" ht="18.75">
      <c r="A2363" s="677"/>
      <c r="B2363" s="677"/>
      <c r="C2363" s="677"/>
      <c r="D2363" s="896"/>
      <c r="E2363" s="677"/>
      <c r="F2363" s="677"/>
      <c r="G2363" s="677"/>
      <c r="H2363" s="897"/>
      <c r="I2363" s="898"/>
      <c r="J2363" s="898"/>
      <c r="K2363" s="899"/>
      <c r="L2363" s="899"/>
      <c r="M2363" s="899"/>
      <c r="N2363" s="899"/>
      <c r="O2363" s="899"/>
      <c r="P2363" s="899"/>
      <c r="Q2363" s="573"/>
      <c r="R2363" s="573"/>
      <c r="S2363" s="573"/>
      <c r="T2363" s="573"/>
      <c r="U2363" s="573"/>
      <c r="V2363" s="573"/>
      <c r="W2363" s="573"/>
      <c r="X2363" s="573"/>
      <c r="Y2363" s="573"/>
      <c r="Z2363" s="573"/>
    </row>
    <row r="2364" spans="1:26" ht="18.75">
      <c r="A2364" s="677"/>
      <c r="B2364" s="677"/>
      <c r="C2364" s="677"/>
      <c r="D2364" s="896"/>
      <c r="E2364" s="677"/>
      <c r="F2364" s="677"/>
      <c r="G2364" s="677"/>
      <c r="H2364" s="897"/>
      <c r="I2364" s="898"/>
      <c r="J2364" s="898"/>
      <c r="K2364" s="899"/>
      <c r="L2364" s="899"/>
      <c r="M2364" s="899"/>
      <c r="N2364" s="899"/>
      <c r="O2364" s="899"/>
      <c r="P2364" s="899"/>
      <c r="Q2364" s="573"/>
      <c r="R2364" s="573"/>
      <c r="S2364" s="573"/>
      <c r="T2364" s="573"/>
      <c r="U2364" s="573"/>
      <c r="V2364" s="573"/>
      <c r="W2364" s="573"/>
      <c r="X2364" s="573"/>
      <c r="Y2364" s="573"/>
      <c r="Z2364" s="573"/>
    </row>
    <row r="2365" spans="1:26" ht="18.75">
      <c r="A2365" s="677"/>
      <c r="B2365" s="677"/>
      <c r="C2365" s="677"/>
      <c r="D2365" s="896"/>
      <c r="E2365" s="677"/>
      <c r="F2365" s="677"/>
      <c r="G2365" s="677"/>
      <c r="H2365" s="897"/>
      <c r="I2365" s="898"/>
      <c r="J2365" s="898"/>
      <c r="K2365" s="899"/>
      <c r="L2365" s="899"/>
      <c r="M2365" s="899"/>
      <c r="N2365" s="899"/>
      <c r="O2365" s="899"/>
      <c r="P2365" s="899"/>
      <c r="Q2365" s="573"/>
      <c r="R2365" s="573"/>
      <c r="S2365" s="573"/>
      <c r="T2365" s="573"/>
      <c r="U2365" s="573"/>
      <c r="V2365" s="573"/>
      <c r="W2365" s="573"/>
      <c r="X2365" s="573"/>
      <c r="Y2365" s="573"/>
      <c r="Z2365" s="573"/>
    </row>
    <row r="2366" spans="1:26" ht="18.75">
      <c r="A2366" s="677"/>
      <c r="B2366" s="677"/>
      <c r="C2366" s="677"/>
      <c r="D2366" s="896"/>
      <c r="E2366" s="677"/>
      <c r="F2366" s="677"/>
      <c r="G2366" s="677"/>
      <c r="H2366" s="897"/>
      <c r="I2366" s="898"/>
      <c r="J2366" s="898"/>
      <c r="K2366" s="899"/>
      <c r="L2366" s="899"/>
      <c r="M2366" s="899"/>
      <c r="N2366" s="899"/>
      <c r="O2366" s="899"/>
      <c r="P2366" s="899"/>
      <c r="Q2366" s="573"/>
      <c r="R2366" s="573"/>
      <c r="S2366" s="573"/>
      <c r="T2366" s="573"/>
      <c r="U2366" s="573"/>
      <c r="V2366" s="573"/>
      <c r="W2366" s="573"/>
      <c r="X2366" s="573"/>
      <c r="Y2366" s="573"/>
      <c r="Z2366" s="573"/>
    </row>
    <row r="2367" spans="1:26" ht="18.75">
      <c r="A2367" s="677"/>
      <c r="B2367" s="677"/>
      <c r="C2367" s="677"/>
      <c r="D2367" s="896"/>
      <c r="E2367" s="677"/>
      <c r="F2367" s="677"/>
      <c r="G2367" s="677"/>
      <c r="H2367" s="897"/>
      <c r="I2367" s="898"/>
      <c r="J2367" s="898"/>
      <c r="K2367" s="899"/>
      <c r="L2367" s="899"/>
      <c r="M2367" s="899"/>
      <c r="N2367" s="899"/>
      <c r="O2367" s="899"/>
      <c r="P2367" s="899"/>
      <c r="Q2367" s="573"/>
      <c r="R2367" s="573"/>
      <c r="S2367" s="573"/>
      <c r="T2367" s="573"/>
      <c r="U2367" s="573"/>
      <c r="V2367" s="573"/>
      <c r="W2367" s="573"/>
      <c r="X2367" s="573"/>
      <c r="Y2367" s="573"/>
      <c r="Z2367" s="573"/>
    </row>
    <row r="2368" spans="1:26" ht="18.75">
      <c r="A2368" s="677"/>
      <c r="B2368" s="677"/>
      <c r="C2368" s="677"/>
      <c r="D2368" s="896"/>
      <c r="E2368" s="677"/>
      <c r="F2368" s="677"/>
      <c r="G2368" s="677"/>
      <c r="H2368" s="897"/>
      <c r="I2368" s="898"/>
      <c r="J2368" s="898"/>
      <c r="K2368" s="899"/>
      <c r="L2368" s="899"/>
      <c r="M2368" s="899"/>
      <c r="N2368" s="899"/>
      <c r="O2368" s="899"/>
      <c r="P2368" s="899"/>
      <c r="Q2368" s="573"/>
      <c r="R2368" s="573"/>
      <c r="S2368" s="573"/>
      <c r="T2368" s="573"/>
      <c r="U2368" s="573"/>
      <c r="V2368" s="573"/>
      <c r="W2368" s="573"/>
      <c r="X2368" s="573"/>
      <c r="Y2368" s="573"/>
      <c r="Z2368" s="573"/>
    </row>
    <row r="2369" spans="1:26" ht="18.75">
      <c r="A2369" s="677"/>
      <c r="B2369" s="677"/>
      <c r="C2369" s="677"/>
      <c r="D2369" s="896"/>
      <c r="E2369" s="677"/>
      <c r="F2369" s="677"/>
      <c r="G2369" s="677"/>
      <c r="H2369" s="897"/>
      <c r="I2369" s="898"/>
      <c r="J2369" s="898"/>
      <c r="K2369" s="899"/>
      <c r="L2369" s="899"/>
      <c r="M2369" s="899"/>
      <c r="N2369" s="899"/>
      <c r="O2369" s="899"/>
      <c r="P2369" s="899"/>
      <c r="Q2369" s="573"/>
      <c r="R2369" s="573"/>
      <c r="S2369" s="573"/>
      <c r="T2369" s="573"/>
      <c r="U2369" s="573"/>
      <c r="V2369" s="573"/>
      <c r="W2369" s="573"/>
      <c r="X2369" s="573"/>
      <c r="Y2369" s="573"/>
      <c r="Z2369" s="573"/>
    </row>
    <row r="2370" spans="1:26" ht="18.75">
      <c r="A2370" s="677"/>
      <c r="B2370" s="677"/>
      <c r="C2370" s="677"/>
      <c r="D2370" s="896"/>
      <c r="E2370" s="677"/>
      <c r="F2370" s="677"/>
      <c r="G2370" s="677"/>
      <c r="H2370" s="897"/>
      <c r="I2370" s="898"/>
      <c r="J2370" s="898"/>
      <c r="K2370" s="899"/>
      <c r="L2370" s="899"/>
      <c r="M2370" s="899"/>
      <c r="N2370" s="899"/>
      <c r="O2370" s="899"/>
      <c r="P2370" s="899"/>
      <c r="Q2370" s="573"/>
      <c r="R2370" s="573"/>
      <c r="S2370" s="573"/>
      <c r="T2370" s="573"/>
      <c r="U2370" s="573"/>
      <c r="V2370" s="573"/>
      <c r="W2370" s="573"/>
      <c r="X2370" s="573"/>
      <c r="Y2370" s="573"/>
      <c r="Z2370" s="573"/>
    </row>
    <row r="2371" spans="1:26" ht="18.75">
      <c r="A2371" s="677"/>
      <c r="B2371" s="677"/>
      <c r="C2371" s="677"/>
      <c r="D2371" s="896"/>
      <c r="E2371" s="677"/>
      <c r="F2371" s="677"/>
      <c r="G2371" s="677"/>
      <c r="H2371" s="897"/>
      <c r="I2371" s="898"/>
      <c r="J2371" s="898"/>
      <c r="K2371" s="899"/>
      <c r="L2371" s="899"/>
      <c r="M2371" s="899"/>
      <c r="N2371" s="899"/>
      <c r="O2371" s="899"/>
      <c r="P2371" s="899"/>
      <c r="Q2371" s="573"/>
      <c r="R2371" s="573"/>
      <c r="S2371" s="573"/>
      <c r="T2371" s="573"/>
      <c r="U2371" s="573"/>
      <c r="V2371" s="573"/>
      <c r="W2371" s="573"/>
      <c r="X2371" s="573"/>
      <c r="Y2371" s="573"/>
      <c r="Z2371" s="573"/>
    </row>
    <row r="2372" spans="1:26" ht="18.75">
      <c r="A2372" s="677"/>
      <c r="B2372" s="677"/>
      <c r="C2372" s="677"/>
      <c r="D2372" s="896"/>
      <c r="E2372" s="677"/>
      <c r="F2372" s="677"/>
      <c r="G2372" s="677"/>
      <c r="H2372" s="897"/>
      <c r="I2372" s="898"/>
      <c r="J2372" s="898"/>
      <c r="K2372" s="899"/>
      <c r="L2372" s="899"/>
      <c r="M2372" s="899"/>
      <c r="N2372" s="899"/>
      <c r="O2372" s="899"/>
      <c r="P2372" s="899"/>
      <c r="Q2372" s="573"/>
      <c r="R2372" s="573"/>
      <c r="S2372" s="573"/>
      <c r="T2372" s="573"/>
      <c r="U2372" s="573"/>
      <c r="V2372" s="573"/>
      <c r="W2372" s="573"/>
      <c r="X2372" s="573"/>
      <c r="Y2372" s="573"/>
      <c r="Z2372" s="573"/>
    </row>
    <row r="2373" spans="1:26" ht="18.75">
      <c r="A2373" s="677"/>
      <c r="B2373" s="677"/>
      <c r="C2373" s="677"/>
      <c r="D2373" s="896"/>
      <c r="E2373" s="677"/>
      <c r="F2373" s="677"/>
      <c r="G2373" s="677"/>
      <c r="H2373" s="897"/>
      <c r="I2373" s="898"/>
      <c r="J2373" s="898"/>
      <c r="K2373" s="899"/>
      <c r="L2373" s="899"/>
      <c r="M2373" s="899"/>
      <c r="N2373" s="899"/>
      <c r="O2373" s="899"/>
      <c r="P2373" s="899"/>
      <c r="Q2373" s="573"/>
      <c r="R2373" s="573"/>
      <c r="S2373" s="573"/>
      <c r="T2373" s="573"/>
      <c r="U2373" s="573"/>
      <c r="V2373" s="573"/>
      <c r="W2373" s="573"/>
      <c r="X2373" s="573"/>
      <c r="Y2373" s="573"/>
      <c r="Z2373" s="573"/>
    </row>
    <row r="2374" spans="1:26" ht="18.75">
      <c r="A2374" s="677"/>
      <c r="B2374" s="677"/>
      <c r="C2374" s="677"/>
      <c r="D2374" s="896"/>
      <c r="E2374" s="677"/>
      <c r="F2374" s="677"/>
      <c r="G2374" s="677"/>
      <c r="H2374" s="897"/>
      <c r="I2374" s="898"/>
      <c r="J2374" s="898"/>
      <c r="K2374" s="899"/>
      <c r="L2374" s="899"/>
      <c r="M2374" s="899"/>
      <c r="N2374" s="899"/>
      <c r="O2374" s="899"/>
      <c r="P2374" s="899"/>
      <c r="Q2374" s="573"/>
      <c r="R2374" s="573"/>
      <c r="S2374" s="573"/>
      <c r="T2374" s="573"/>
      <c r="U2374" s="573"/>
      <c r="V2374" s="573"/>
      <c r="W2374" s="573"/>
      <c r="X2374" s="573"/>
      <c r="Y2374" s="573"/>
      <c r="Z2374" s="573"/>
    </row>
    <row r="2375" spans="1:26" ht="18.75">
      <c r="A2375" s="677"/>
      <c r="B2375" s="677"/>
      <c r="C2375" s="677"/>
      <c r="D2375" s="896"/>
      <c r="E2375" s="677"/>
      <c r="F2375" s="677"/>
      <c r="G2375" s="677"/>
      <c r="H2375" s="897"/>
      <c r="I2375" s="898"/>
      <c r="J2375" s="898"/>
      <c r="K2375" s="899"/>
      <c r="L2375" s="899"/>
      <c r="M2375" s="899"/>
      <c r="N2375" s="899"/>
      <c r="O2375" s="899"/>
      <c r="P2375" s="899"/>
      <c r="Q2375" s="573"/>
      <c r="R2375" s="573"/>
      <c r="S2375" s="573"/>
      <c r="T2375" s="573"/>
      <c r="U2375" s="573"/>
      <c r="V2375" s="573"/>
      <c r="W2375" s="573"/>
      <c r="X2375" s="573"/>
      <c r="Y2375" s="573"/>
      <c r="Z2375" s="573"/>
    </row>
    <row r="2376" spans="1:26" ht="18.75">
      <c r="A2376" s="677"/>
      <c r="B2376" s="677"/>
      <c r="C2376" s="677"/>
      <c r="D2376" s="896"/>
      <c r="E2376" s="677"/>
      <c r="F2376" s="677"/>
      <c r="G2376" s="677"/>
      <c r="H2376" s="897"/>
      <c r="I2376" s="898"/>
      <c r="J2376" s="898"/>
      <c r="K2376" s="899"/>
      <c r="L2376" s="899"/>
      <c r="M2376" s="899"/>
      <c r="N2376" s="899"/>
      <c r="O2376" s="899"/>
      <c r="P2376" s="899"/>
      <c r="Q2376" s="573"/>
      <c r="R2376" s="573"/>
      <c r="S2376" s="573"/>
      <c r="T2376" s="573"/>
      <c r="U2376" s="573"/>
      <c r="V2376" s="573"/>
      <c r="W2376" s="573"/>
      <c r="X2376" s="573"/>
      <c r="Y2376" s="573"/>
      <c r="Z2376" s="573"/>
    </row>
    <row r="2377" spans="1:26" ht="18.75">
      <c r="A2377" s="677"/>
      <c r="B2377" s="677"/>
      <c r="C2377" s="677"/>
      <c r="D2377" s="896"/>
      <c r="E2377" s="677"/>
      <c r="F2377" s="677"/>
      <c r="G2377" s="677"/>
      <c r="H2377" s="897"/>
      <c r="I2377" s="898"/>
      <c r="J2377" s="898"/>
      <c r="K2377" s="899"/>
      <c r="L2377" s="899"/>
      <c r="M2377" s="899"/>
      <c r="N2377" s="899"/>
      <c r="O2377" s="899"/>
      <c r="P2377" s="899"/>
      <c r="Q2377" s="573"/>
      <c r="R2377" s="573"/>
      <c r="S2377" s="573"/>
      <c r="T2377" s="573"/>
      <c r="U2377" s="573"/>
      <c r="V2377" s="573"/>
      <c r="W2377" s="573"/>
      <c r="X2377" s="573"/>
      <c r="Y2377" s="573"/>
      <c r="Z2377" s="573"/>
    </row>
    <row r="2378" spans="1:26" ht="18.75">
      <c r="A2378" s="677"/>
      <c r="B2378" s="677"/>
      <c r="C2378" s="677"/>
      <c r="D2378" s="896"/>
      <c r="E2378" s="677"/>
      <c r="F2378" s="677"/>
      <c r="G2378" s="677"/>
      <c r="H2378" s="897"/>
      <c r="I2378" s="898"/>
      <c r="J2378" s="898"/>
      <c r="K2378" s="899"/>
      <c r="L2378" s="899"/>
      <c r="M2378" s="899"/>
      <c r="N2378" s="899"/>
      <c r="O2378" s="899"/>
      <c r="P2378" s="899"/>
      <c r="Q2378" s="573"/>
      <c r="R2378" s="573"/>
      <c r="S2378" s="573"/>
      <c r="T2378" s="573"/>
      <c r="U2378" s="573"/>
      <c r="V2378" s="573"/>
      <c r="W2378" s="573"/>
      <c r="X2378" s="573"/>
      <c r="Y2378" s="573"/>
      <c r="Z2378" s="573"/>
    </row>
    <row r="2379" spans="1:26" ht="18.75">
      <c r="A2379" s="677"/>
      <c r="B2379" s="677"/>
      <c r="C2379" s="677"/>
      <c r="D2379" s="896"/>
      <c r="E2379" s="677"/>
      <c r="F2379" s="677"/>
      <c r="G2379" s="677"/>
      <c r="H2379" s="897"/>
      <c r="I2379" s="898"/>
      <c r="J2379" s="898"/>
      <c r="K2379" s="899"/>
      <c r="L2379" s="899"/>
      <c r="M2379" s="899"/>
      <c r="N2379" s="899"/>
      <c r="O2379" s="899"/>
      <c r="P2379" s="899"/>
      <c r="Q2379" s="573"/>
      <c r="R2379" s="573"/>
      <c r="S2379" s="573"/>
      <c r="T2379" s="573"/>
      <c r="U2379" s="573"/>
      <c r="V2379" s="573"/>
      <c r="W2379" s="573"/>
      <c r="X2379" s="573"/>
      <c r="Y2379" s="573"/>
      <c r="Z2379" s="573"/>
    </row>
    <row r="2380" spans="1:26" ht="18.75">
      <c r="A2380" s="677"/>
      <c r="B2380" s="677"/>
      <c r="C2380" s="677"/>
      <c r="D2380" s="896"/>
      <c r="E2380" s="677"/>
      <c r="F2380" s="677"/>
      <c r="G2380" s="677"/>
      <c r="H2380" s="897"/>
      <c r="I2380" s="898"/>
      <c r="J2380" s="898"/>
      <c r="K2380" s="899"/>
      <c r="L2380" s="899"/>
      <c r="M2380" s="899"/>
      <c r="N2380" s="899"/>
      <c r="O2380" s="899"/>
      <c r="P2380" s="899"/>
      <c r="Q2380" s="573"/>
      <c r="R2380" s="573"/>
      <c r="S2380" s="573"/>
      <c r="T2380" s="573"/>
      <c r="U2380" s="573"/>
      <c r="V2380" s="573"/>
      <c r="W2380" s="573"/>
      <c r="X2380" s="573"/>
      <c r="Y2380" s="573"/>
      <c r="Z2380" s="573"/>
    </row>
    <row r="2381" spans="1:26" ht="18.75">
      <c r="A2381" s="677"/>
      <c r="B2381" s="677"/>
      <c r="C2381" s="677"/>
      <c r="D2381" s="896"/>
      <c r="E2381" s="677"/>
      <c r="F2381" s="677"/>
      <c r="G2381" s="677"/>
      <c r="H2381" s="897"/>
      <c r="I2381" s="898"/>
      <c r="J2381" s="898"/>
      <c r="K2381" s="899"/>
      <c r="L2381" s="899"/>
      <c r="M2381" s="899"/>
      <c r="N2381" s="899"/>
      <c r="O2381" s="899"/>
      <c r="P2381" s="899"/>
      <c r="Q2381" s="573"/>
      <c r="R2381" s="573"/>
      <c r="S2381" s="573"/>
      <c r="T2381" s="573"/>
      <c r="U2381" s="573"/>
      <c r="V2381" s="573"/>
      <c r="W2381" s="573"/>
      <c r="X2381" s="573"/>
      <c r="Y2381" s="573"/>
      <c r="Z2381" s="573"/>
    </row>
    <row r="2382" spans="1:26" ht="18.75">
      <c r="A2382" s="677"/>
      <c r="B2382" s="677"/>
      <c r="C2382" s="677"/>
      <c r="D2382" s="896"/>
      <c r="E2382" s="677"/>
      <c r="F2382" s="677"/>
      <c r="G2382" s="677"/>
      <c r="H2382" s="897"/>
      <c r="I2382" s="898"/>
      <c r="J2382" s="898"/>
      <c r="K2382" s="899"/>
      <c r="L2382" s="899"/>
      <c r="M2382" s="899"/>
      <c r="N2382" s="899"/>
      <c r="O2382" s="899"/>
      <c r="P2382" s="899"/>
      <c r="Q2382" s="573"/>
      <c r="R2382" s="573"/>
      <c r="S2382" s="573"/>
      <c r="T2382" s="573"/>
      <c r="U2382" s="573"/>
      <c r="V2382" s="573"/>
      <c r="W2382" s="573"/>
      <c r="X2382" s="573"/>
      <c r="Y2382" s="573"/>
      <c r="Z2382" s="573"/>
    </row>
    <row r="2383" spans="1:26" ht="18.75">
      <c r="A2383" s="677"/>
      <c r="B2383" s="677"/>
      <c r="C2383" s="677"/>
      <c r="D2383" s="896"/>
      <c r="E2383" s="677"/>
      <c r="F2383" s="677"/>
      <c r="G2383" s="677"/>
      <c r="H2383" s="897"/>
      <c r="I2383" s="898"/>
      <c r="J2383" s="898"/>
      <c r="K2383" s="899"/>
      <c r="L2383" s="899"/>
      <c r="M2383" s="899"/>
      <c r="N2383" s="899"/>
      <c r="O2383" s="899"/>
      <c r="P2383" s="899"/>
      <c r="Q2383" s="573"/>
      <c r="R2383" s="573"/>
      <c r="S2383" s="573"/>
      <c r="T2383" s="573"/>
      <c r="U2383" s="573"/>
      <c r="V2383" s="573"/>
      <c r="W2383" s="573"/>
      <c r="X2383" s="573"/>
      <c r="Y2383" s="573"/>
      <c r="Z2383" s="573"/>
    </row>
    <row r="2384" spans="1:26" ht="18.75">
      <c r="A2384" s="677"/>
      <c r="B2384" s="677"/>
      <c r="C2384" s="677"/>
      <c r="D2384" s="896"/>
      <c r="E2384" s="677"/>
      <c r="F2384" s="677"/>
      <c r="G2384" s="677"/>
      <c r="H2384" s="897"/>
      <c r="I2384" s="898"/>
      <c r="J2384" s="898"/>
      <c r="K2384" s="899"/>
      <c r="L2384" s="899"/>
      <c r="M2384" s="899"/>
      <c r="N2384" s="899"/>
      <c r="O2384" s="899"/>
      <c r="P2384" s="899"/>
      <c r="Q2384" s="573"/>
      <c r="R2384" s="573"/>
      <c r="S2384" s="573"/>
      <c r="T2384" s="573"/>
      <c r="U2384" s="573"/>
      <c r="V2384" s="573"/>
      <c r="W2384" s="573"/>
      <c r="X2384" s="573"/>
      <c r="Y2384" s="573"/>
      <c r="Z2384" s="573"/>
    </row>
    <row r="2385" spans="1:26" ht="18.75">
      <c r="A2385" s="677"/>
      <c r="B2385" s="677"/>
      <c r="C2385" s="677"/>
      <c r="D2385" s="896"/>
      <c r="E2385" s="677"/>
      <c r="F2385" s="677"/>
      <c r="G2385" s="677"/>
      <c r="H2385" s="897"/>
      <c r="I2385" s="898"/>
      <c r="J2385" s="898"/>
      <c r="K2385" s="899"/>
      <c r="L2385" s="899"/>
      <c r="M2385" s="899"/>
      <c r="N2385" s="899"/>
      <c r="O2385" s="899"/>
      <c r="P2385" s="899"/>
      <c r="Q2385" s="573"/>
      <c r="R2385" s="573"/>
      <c r="S2385" s="573"/>
      <c r="T2385" s="573"/>
      <c r="U2385" s="573"/>
      <c r="V2385" s="573"/>
      <c r="W2385" s="573"/>
      <c r="X2385" s="573"/>
      <c r="Y2385" s="573"/>
      <c r="Z2385" s="573"/>
    </row>
    <row r="2386" spans="1:26" ht="18.75">
      <c r="A2386" s="677"/>
      <c r="B2386" s="677"/>
      <c r="C2386" s="677"/>
      <c r="D2386" s="896"/>
      <c r="E2386" s="677"/>
      <c r="F2386" s="677"/>
      <c r="G2386" s="677"/>
      <c r="H2386" s="897"/>
      <c r="I2386" s="898"/>
      <c r="J2386" s="898"/>
      <c r="K2386" s="899"/>
      <c r="L2386" s="899"/>
      <c r="M2386" s="899"/>
      <c r="N2386" s="899"/>
      <c r="O2386" s="899"/>
      <c r="P2386" s="899"/>
      <c r="Q2386" s="573"/>
      <c r="R2386" s="573"/>
      <c r="S2386" s="573"/>
      <c r="T2386" s="573"/>
      <c r="U2386" s="573"/>
      <c r="V2386" s="573"/>
      <c r="W2386" s="573"/>
      <c r="X2386" s="573"/>
      <c r="Y2386" s="573"/>
      <c r="Z2386" s="573"/>
    </row>
    <row r="2387" spans="1:26" ht="18.75">
      <c r="A2387" s="677"/>
      <c r="B2387" s="677"/>
      <c r="C2387" s="677"/>
      <c r="D2387" s="896"/>
      <c r="E2387" s="677"/>
      <c r="F2387" s="677"/>
      <c r="G2387" s="677"/>
      <c r="H2387" s="897"/>
      <c r="I2387" s="898"/>
      <c r="J2387" s="898"/>
      <c r="K2387" s="899"/>
      <c r="L2387" s="899"/>
      <c r="M2387" s="899"/>
      <c r="N2387" s="899"/>
      <c r="O2387" s="899"/>
      <c r="P2387" s="899"/>
      <c r="Q2387" s="573"/>
      <c r="R2387" s="573"/>
      <c r="S2387" s="573"/>
      <c r="T2387" s="573"/>
      <c r="U2387" s="573"/>
      <c r="V2387" s="573"/>
      <c r="W2387" s="573"/>
      <c r="X2387" s="573"/>
      <c r="Y2387" s="573"/>
      <c r="Z2387" s="573"/>
    </row>
    <row r="2388" spans="1:26" ht="18.75">
      <c r="A2388" s="677"/>
      <c r="B2388" s="677"/>
      <c r="C2388" s="677"/>
      <c r="D2388" s="896"/>
      <c r="E2388" s="677"/>
      <c r="F2388" s="677"/>
      <c r="G2388" s="677"/>
      <c r="H2388" s="897"/>
      <c r="I2388" s="898"/>
      <c r="J2388" s="898"/>
      <c r="K2388" s="899"/>
      <c r="L2388" s="899"/>
      <c r="M2388" s="899"/>
      <c r="N2388" s="899"/>
      <c r="O2388" s="899"/>
      <c r="P2388" s="899"/>
      <c r="Q2388" s="573"/>
      <c r="R2388" s="573"/>
      <c r="S2388" s="573"/>
      <c r="T2388" s="573"/>
      <c r="U2388" s="573"/>
      <c r="V2388" s="573"/>
      <c r="W2388" s="573"/>
      <c r="X2388" s="573"/>
      <c r="Y2388" s="573"/>
      <c r="Z2388" s="573"/>
    </row>
    <row r="2389" spans="1:26" ht="18.75">
      <c r="A2389" s="677"/>
      <c r="B2389" s="677"/>
      <c r="C2389" s="677"/>
      <c r="D2389" s="896"/>
      <c r="E2389" s="677"/>
      <c r="F2389" s="677"/>
      <c r="G2389" s="677"/>
      <c r="H2389" s="897"/>
      <c r="I2389" s="898"/>
      <c r="J2389" s="898"/>
      <c r="K2389" s="899"/>
      <c r="L2389" s="899"/>
      <c r="M2389" s="899"/>
      <c r="N2389" s="899"/>
      <c r="O2389" s="899"/>
      <c r="P2389" s="899"/>
      <c r="Q2389" s="573"/>
      <c r="R2389" s="573"/>
      <c r="S2389" s="573"/>
      <c r="T2389" s="573"/>
      <c r="U2389" s="573"/>
      <c r="V2389" s="573"/>
      <c r="W2389" s="573"/>
      <c r="X2389" s="573"/>
      <c r="Y2389" s="573"/>
      <c r="Z2389" s="573"/>
    </row>
    <row r="2390" spans="1:26" ht="18.75">
      <c r="A2390" s="677"/>
      <c r="B2390" s="677"/>
      <c r="C2390" s="677"/>
      <c r="D2390" s="896"/>
      <c r="E2390" s="677"/>
      <c r="F2390" s="677"/>
      <c r="G2390" s="677"/>
      <c r="H2390" s="897"/>
      <c r="I2390" s="898"/>
      <c r="J2390" s="898"/>
      <c r="K2390" s="899"/>
      <c r="L2390" s="899"/>
      <c r="M2390" s="899"/>
      <c r="N2390" s="899"/>
      <c r="O2390" s="899"/>
      <c r="P2390" s="899"/>
      <c r="Q2390" s="573"/>
      <c r="R2390" s="573"/>
      <c r="S2390" s="573"/>
      <c r="T2390" s="573"/>
      <c r="U2390" s="573"/>
      <c r="V2390" s="573"/>
      <c r="W2390" s="573"/>
      <c r="X2390" s="573"/>
      <c r="Y2390" s="573"/>
      <c r="Z2390" s="573"/>
    </row>
    <row r="2391" spans="1:26" ht="18.75">
      <c r="A2391" s="677"/>
      <c r="B2391" s="677"/>
      <c r="C2391" s="677"/>
      <c r="D2391" s="896"/>
      <c r="E2391" s="677"/>
      <c r="F2391" s="677"/>
      <c r="G2391" s="677"/>
      <c r="H2391" s="897"/>
      <c r="I2391" s="898"/>
      <c r="J2391" s="898"/>
      <c r="K2391" s="899"/>
      <c r="L2391" s="899"/>
      <c r="M2391" s="899"/>
      <c r="N2391" s="899"/>
      <c r="O2391" s="899"/>
      <c r="P2391" s="899"/>
      <c r="Q2391" s="573"/>
      <c r="R2391" s="573"/>
      <c r="S2391" s="573"/>
      <c r="T2391" s="573"/>
      <c r="U2391" s="573"/>
      <c r="V2391" s="573"/>
      <c r="W2391" s="573"/>
      <c r="X2391" s="573"/>
      <c r="Y2391" s="573"/>
      <c r="Z2391" s="573"/>
    </row>
    <row r="2392" spans="1:26" ht="18.75">
      <c r="A2392" s="677"/>
      <c r="B2392" s="677"/>
      <c r="C2392" s="677"/>
      <c r="D2392" s="896"/>
      <c r="E2392" s="677"/>
      <c r="F2392" s="677"/>
      <c r="G2392" s="677"/>
      <c r="H2392" s="897"/>
      <c r="I2392" s="898"/>
      <c r="J2392" s="898"/>
      <c r="K2392" s="899"/>
      <c r="L2392" s="899"/>
      <c r="M2392" s="899"/>
      <c r="N2392" s="899"/>
      <c r="O2392" s="899"/>
      <c r="P2392" s="899"/>
      <c r="Q2392" s="573"/>
      <c r="R2392" s="573"/>
      <c r="S2392" s="573"/>
      <c r="T2392" s="573"/>
      <c r="U2392" s="573"/>
      <c r="V2392" s="573"/>
      <c r="W2392" s="573"/>
      <c r="X2392" s="573"/>
      <c r="Y2392" s="573"/>
      <c r="Z2392" s="573"/>
    </row>
    <row r="2393" spans="1:26" ht="18.75">
      <c r="A2393" s="677"/>
      <c r="B2393" s="677"/>
      <c r="C2393" s="677"/>
      <c r="D2393" s="896"/>
      <c r="E2393" s="677"/>
      <c r="F2393" s="677"/>
      <c r="G2393" s="677"/>
      <c r="H2393" s="897"/>
      <c r="I2393" s="898"/>
      <c r="J2393" s="898"/>
      <c r="K2393" s="899"/>
      <c r="L2393" s="899"/>
      <c r="M2393" s="899"/>
      <c r="N2393" s="899"/>
      <c r="O2393" s="899"/>
      <c r="P2393" s="899"/>
      <c r="Q2393" s="573"/>
      <c r="R2393" s="573"/>
      <c r="S2393" s="573"/>
      <c r="T2393" s="573"/>
      <c r="U2393" s="573"/>
      <c r="V2393" s="573"/>
      <c r="W2393" s="573"/>
      <c r="X2393" s="573"/>
      <c r="Y2393" s="573"/>
      <c r="Z2393" s="573"/>
    </row>
    <row r="2394" spans="1:26" ht="18.75">
      <c r="A2394" s="677"/>
      <c r="B2394" s="677"/>
      <c r="C2394" s="677"/>
      <c r="D2394" s="896"/>
      <c r="E2394" s="677"/>
      <c r="F2394" s="677"/>
      <c r="G2394" s="677"/>
      <c r="H2394" s="897"/>
      <c r="I2394" s="898"/>
      <c r="J2394" s="898"/>
      <c r="K2394" s="899"/>
      <c r="L2394" s="899"/>
      <c r="M2394" s="899"/>
      <c r="N2394" s="899"/>
      <c r="O2394" s="899"/>
      <c r="P2394" s="899"/>
      <c r="Q2394" s="573"/>
      <c r="R2394" s="573"/>
      <c r="S2394" s="573"/>
      <c r="T2394" s="573"/>
      <c r="U2394" s="573"/>
      <c r="V2394" s="573"/>
      <c r="W2394" s="573"/>
      <c r="X2394" s="573"/>
      <c r="Y2394" s="573"/>
      <c r="Z2394" s="573"/>
    </row>
    <row r="2395" spans="1:26" ht="18.75">
      <c r="A2395" s="677"/>
      <c r="B2395" s="677"/>
      <c r="C2395" s="677"/>
      <c r="D2395" s="896"/>
      <c r="E2395" s="677"/>
      <c r="F2395" s="677"/>
      <c r="G2395" s="677"/>
      <c r="H2395" s="897"/>
      <c r="I2395" s="898"/>
      <c r="J2395" s="898"/>
      <c r="K2395" s="899"/>
      <c r="L2395" s="899"/>
      <c r="M2395" s="899"/>
      <c r="N2395" s="899"/>
      <c r="O2395" s="899"/>
      <c r="P2395" s="899"/>
      <c r="Q2395" s="573"/>
      <c r="R2395" s="573"/>
      <c r="S2395" s="573"/>
      <c r="T2395" s="573"/>
      <c r="U2395" s="573"/>
      <c r="V2395" s="573"/>
      <c r="W2395" s="573"/>
      <c r="X2395" s="573"/>
      <c r="Y2395" s="573"/>
      <c r="Z2395" s="573"/>
    </row>
    <row r="2396" spans="1:26" ht="18.75">
      <c r="A2396" s="677"/>
      <c r="B2396" s="677"/>
      <c r="C2396" s="677"/>
      <c r="D2396" s="896"/>
      <c r="E2396" s="677"/>
      <c r="F2396" s="677"/>
      <c r="G2396" s="677"/>
      <c r="H2396" s="897"/>
      <c r="I2396" s="898"/>
      <c r="J2396" s="898"/>
      <c r="K2396" s="899"/>
      <c r="L2396" s="899"/>
      <c r="M2396" s="899"/>
      <c r="N2396" s="899"/>
      <c r="O2396" s="899"/>
      <c r="P2396" s="899"/>
      <c r="Q2396" s="573"/>
      <c r="R2396" s="573"/>
      <c r="S2396" s="573"/>
      <c r="T2396" s="573"/>
      <c r="U2396" s="573"/>
      <c r="V2396" s="573"/>
      <c r="W2396" s="573"/>
      <c r="X2396" s="573"/>
      <c r="Y2396" s="573"/>
      <c r="Z2396" s="573"/>
    </row>
    <row r="2397" spans="1:26" ht="18.75">
      <c r="A2397" s="677"/>
      <c r="B2397" s="677"/>
      <c r="C2397" s="677"/>
      <c r="D2397" s="896"/>
      <c r="E2397" s="677"/>
      <c r="F2397" s="677"/>
      <c r="G2397" s="677"/>
      <c r="H2397" s="897"/>
      <c r="I2397" s="898"/>
      <c r="J2397" s="898"/>
      <c r="K2397" s="899"/>
      <c r="L2397" s="899"/>
      <c r="M2397" s="899"/>
      <c r="N2397" s="899"/>
      <c r="O2397" s="899"/>
      <c r="P2397" s="899"/>
      <c r="Q2397" s="573"/>
      <c r="R2397" s="573"/>
      <c r="S2397" s="573"/>
      <c r="T2397" s="573"/>
      <c r="U2397" s="573"/>
      <c r="V2397" s="573"/>
      <c r="W2397" s="573"/>
      <c r="X2397" s="573"/>
      <c r="Y2397" s="573"/>
      <c r="Z2397" s="573"/>
    </row>
    <row r="2398" spans="1:26" ht="18.75">
      <c r="A2398" s="677"/>
      <c r="B2398" s="677"/>
      <c r="C2398" s="677"/>
      <c r="D2398" s="896"/>
      <c r="E2398" s="677"/>
      <c r="F2398" s="677"/>
      <c r="G2398" s="677"/>
      <c r="H2398" s="897"/>
      <c r="I2398" s="898"/>
      <c r="J2398" s="898"/>
      <c r="K2398" s="899"/>
      <c r="L2398" s="899"/>
      <c r="M2398" s="899"/>
      <c r="N2398" s="899"/>
      <c r="O2398" s="899"/>
      <c r="P2398" s="899"/>
      <c r="Q2398" s="573"/>
      <c r="R2398" s="573"/>
      <c r="S2398" s="573"/>
      <c r="T2398" s="573"/>
      <c r="U2398" s="573"/>
      <c r="V2398" s="573"/>
      <c r="W2398" s="573"/>
      <c r="X2398" s="573"/>
      <c r="Y2398" s="573"/>
      <c r="Z2398" s="573"/>
    </row>
    <row r="2399" spans="1:26" ht="18.75">
      <c r="A2399" s="677"/>
      <c r="B2399" s="677"/>
      <c r="C2399" s="677"/>
      <c r="D2399" s="896"/>
      <c r="E2399" s="677"/>
      <c r="F2399" s="677"/>
      <c r="G2399" s="677"/>
      <c r="H2399" s="897"/>
      <c r="I2399" s="898"/>
      <c r="J2399" s="898"/>
      <c r="K2399" s="899"/>
      <c r="L2399" s="899"/>
      <c r="M2399" s="899"/>
      <c r="N2399" s="899"/>
      <c r="O2399" s="899"/>
      <c r="P2399" s="899"/>
      <c r="Q2399" s="573"/>
      <c r="R2399" s="573"/>
      <c r="S2399" s="573"/>
      <c r="T2399" s="573"/>
      <c r="U2399" s="573"/>
      <c r="V2399" s="573"/>
      <c r="W2399" s="573"/>
      <c r="X2399" s="573"/>
      <c r="Y2399" s="573"/>
      <c r="Z2399" s="573"/>
    </row>
    <row r="2400" spans="1:26" ht="18.75">
      <c r="A2400" s="677"/>
      <c r="B2400" s="677"/>
      <c r="C2400" s="677"/>
      <c r="D2400" s="896"/>
      <c r="E2400" s="677"/>
      <c r="F2400" s="677"/>
      <c r="G2400" s="677"/>
      <c r="H2400" s="897"/>
      <c r="I2400" s="898"/>
      <c r="J2400" s="898"/>
      <c r="K2400" s="899"/>
      <c r="L2400" s="899"/>
      <c r="M2400" s="899"/>
      <c r="N2400" s="899"/>
      <c r="O2400" s="899"/>
      <c r="P2400" s="899"/>
      <c r="Q2400" s="573"/>
      <c r="R2400" s="573"/>
      <c r="S2400" s="573"/>
      <c r="T2400" s="573"/>
      <c r="U2400" s="573"/>
      <c r="V2400" s="573"/>
      <c r="W2400" s="573"/>
      <c r="X2400" s="573"/>
      <c r="Y2400" s="573"/>
      <c r="Z2400" s="573"/>
    </row>
    <row r="2401" spans="1:26" ht="18.75">
      <c r="A2401" s="677"/>
      <c r="B2401" s="677"/>
      <c r="C2401" s="677"/>
      <c r="D2401" s="896"/>
      <c r="E2401" s="677"/>
      <c r="F2401" s="677"/>
      <c r="G2401" s="677"/>
      <c r="H2401" s="897"/>
      <c r="I2401" s="898"/>
      <c r="J2401" s="898"/>
      <c r="K2401" s="899"/>
      <c r="L2401" s="899"/>
      <c r="M2401" s="899"/>
      <c r="N2401" s="899"/>
      <c r="O2401" s="899"/>
      <c r="P2401" s="899"/>
      <c r="Q2401" s="573"/>
      <c r="R2401" s="573"/>
      <c r="S2401" s="573"/>
      <c r="T2401" s="573"/>
      <c r="U2401" s="573"/>
      <c r="V2401" s="573"/>
      <c r="W2401" s="573"/>
      <c r="X2401" s="573"/>
      <c r="Y2401" s="573"/>
      <c r="Z2401" s="573"/>
    </row>
    <row r="2402" spans="1:26" ht="18.75">
      <c r="A2402" s="677"/>
      <c r="B2402" s="677"/>
      <c r="C2402" s="677"/>
      <c r="D2402" s="896"/>
      <c r="E2402" s="677"/>
      <c r="F2402" s="677"/>
      <c r="G2402" s="677"/>
      <c r="H2402" s="897"/>
      <c r="I2402" s="898"/>
      <c r="J2402" s="898"/>
      <c r="K2402" s="899"/>
      <c r="L2402" s="899"/>
      <c r="M2402" s="899"/>
      <c r="N2402" s="899"/>
      <c r="O2402" s="899"/>
      <c r="P2402" s="899"/>
      <c r="Q2402" s="573"/>
      <c r="R2402" s="573"/>
      <c r="S2402" s="573"/>
      <c r="T2402" s="573"/>
      <c r="U2402" s="573"/>
      <c r="V2402" s="573"/>
      <c r="W2402" s="573"/>
      <c r="X2402" s="573"/>
      <c r="Y2402" s="573"/>
      <c r="Z2402" s="573"/>
    </row>
    <row r="2403" spans="1:26" ht="18.75">
      <c r="A2403" s="677"/>
      <c r="B2403" s="677"/>
      <c r="C2403" s="677"/>
      <c r="D2403" s="896"/>
      <c r="E2403" s="677"/>
      <c r="F2403" s="677"/>
      <c r="G2403" s="677"/>
      <c r="H2403" s="897"/>
      <c r="I2403" s="898"/>
      <c r="J2403" s="898"/>
      <c r="K2403" s="899"/>
      <c r="L2403" s="899"/>
      <c r="M2403" s="899"/>
      <c r="N2403" s="899"/>
      <c r="O2403" s="899"/>
      <c r="P2403" s="899"/>
      <c r="Q2403" s="573"/>
      <c r="R2403" s="573"/>
      <c r="S2403" s="573"/>
      <c r="T2403" s="573"/>
      <c r="U2403" s="573"/>
      <c r="V2403" s="573"/>
      <c r="W2403" s="573"/>
      <c r="X2403" s="573"/>
      <c r="Y2403" s="573"/>
      <c r="Z2403" s="573"/>
    </row>
    <row r="2404" spans="1:26" ht="18.75">
      <c r="A2404" s="677"/>
      <c r="B2404" s="677"/>
      <c r="C2404" s="677"/>
      <c r="D2404" s="896"/>
      <c r="E2404" s="677"/>
      <c r="F2404" s="677"/>
      <c r="G2404" s="677"/>
      <c r="H2404" s="897"/>
      <c r="I2404" s="898"/>
      <c r="J2404" s="898"/>
      <c r="K2404" s="899"/>
      <c r="L2404" s="899"/>
      <c r="M2404" s="899"/>
      <c r="N2404" s="899"/>
      <c r="O2404" s="899"/>
      <c r="P2404" s="899"/>
      <c r="Q2404" s="573"/>
      <c r="R2404" s="573"/>
      <c r="S2404" s="573"/>
      <c r="T2404" s="573"/>
      <c r="U2404" s="573"/>
      <c r="V2404" s="573"/>
      <c r="W2404" s="573"/>
      <c r="X2404" s="573"/>
      <c r="Y2404" s="573"/>
      <c r="Z2404" s="573"/>
    </row>
    <row r="2405" spans="1:26" ht="18.75">
      <c r="A2405" s="677"/>
      <c r="B2405" s="677"/>
      <c r="C2405" s="677"/>
      <c r="D2405" s="896"/>
      <c r="E2405" s="677"/>
      <c r="F2405" s="677"/>
      <c r="G2405" s="677"/>
      <c r="H2405" s="897"/>
      <c r="I2405" s="898"/>
      <c r="J2405" s="898"/>
      <c r="K2405" s="899"/>
      <c r="L2405" s="899"/>
      <c r="M2405" s="899"/>
      <c r="N2405" s="899"/>
      <c r="O2405" s="899"/>
      <c r="P2405" s="899"/>
      <c r="Q2405" s="573"/>
      <c r="R2405" s="573"/>
      <c r="S2405" s="573"/>
      <c r="T2405" s="573"/>
      <c r="U2405" s="573"/>
      <c r="V2405" s="573"/>
      <c r="W2405" s="573"/>
      <c r="X2405" s="573"/>
      <c r="Y2405" s="573"/>
      <c r="Z2405" s="573"/>
    </row>
    <row r="2406" spans="1:26" ht="18.75">
      <c r="A2406" s="677"/>
      <c r="B2406" s="677"/>
      <c r="C2406" s="677"/>
      <c r="D2406" s="896"/>
      <c r="E2406" s="677"/>
      <c r="F2406" s="677"/>
      <c r="G2406" s="677"/>
      <c r="H2406" s="897"/>
      <c r="I2406" s="898"/>
      <c r="J2406" s="898"/>
      <c r="K2406" s="899"/>
      <c r="L2406" s="899"/>
      <c r="M2406" s="899"/>
      <c r="N2406" s="899"/>
      <c r="O2406" s="899"/>
      <c r="P2406" s="899"/>
      <c r="Q2406" s="573"/>
      <c r="R2406" s="573"/>
      <c r="S2406" s="573"/>
      <c r="T2406" s="573"/>
      <c r="U2406" s="573"/>
      <c r="V2406" s="573"/>
      <c r="W2406" s="573"/>
      <c r="X2406" s="573"/>
      <c r="Y2406" s="573"/>
      <c r="Z2406" s="573"/>
    </row>
    <row r="2407" spans="1:26" ht="18.75">
      <c r="A2407" s="677"/>
      <c r="B2407" s="677"/>
      <c r="C2407" s="677"/>
      <c r="D2407" s="896"/>
      <c r="E2407" s="677"/>
      <c r="F2407" s="677"/>
      <c r="G2407" s="677"/>
      <c r="H2407" s="897"/>
      <c r="I2407" s="898"/>
      <c r="J2407" s="898"/>
      <c r="K2407" s="899"/>
      <c r="L2407" s="899"/>
      <c r="M2407" s="899"/>
      <c r="N2407" s="899"/>
      <c r="O2407" s="899"/>
      <c r="P2407" s="899"/>
      <c r="Q2407" s="573"/>
      <c r="R2407" s="573"/>
      <c r="S2407" s="573"/>
      <c r="T2407" s="573"/>
      <c r="U2407" s="573"/>
      <c r="V2407" s="573"/>
      <c r="W2407" s="573"/>
      <c r="X2407" s="573"/>
      <c r="Y2407" s="573"/>
      <c r="Z2407" s="573"/>
    </row>
    <row r="2408" spans="1:26" ht="18.75">
      <c r="A2408" s="677"/>
      <c r="B2408" s="677"/>
      <c r="C2408" s="677"/>
      <c r="D2408" s="896"/>
      <c r="E2408" s="677"/>
      <c r="F2408" s="677"/>
      <c r="G2408" s="677"/>
      <c r="H2408" s="897"/>
      <c r="I2408" s="898"/>
      <c r="J2408" s="898"/>
      <c r="K2408" s="899"/>
      <c r="L2408" s="899"/>
      <c r="M2408" s="899"/>
      <c r="N2408" s="899"/>
      <c r="O2408" s="899"/>
      <c r="P2408" s="899"/>
      <c r="Q2408" s="573"/>
      <c r="R2408" s="573"/>
      <c r="S2408" s="573"/>
      <c r="T2408" s="573"/>
      <c r="U2408" s="573"/>
      <c r="V2408" s="573"/>
      <c r="W2408" s="573"/>
      <c r="X2408" s="573"/>
      <c r="Y2408" s="573"/>
      <c r="Z2408" s="573"/>
    </row>
    <row r="2409" spans="1:26" ht="18.75">
      <c r="A2409" s="677"/>
      <c r="B2409" s="677"/>
      <c r="C2409" s="677"/>
      <c r="D2409" s="896"/>
      <c r="E2409" s="677"/>
      <c r="F2409" s="677"/>
      <c r="G2409" s="677"/>
      <c r="H2409" s="897"/>
      <c r="I2409" s="898"/>
      <c r="J2409" s="898"/>
      <c r="K2409" s="899"/>
      <c r="L2409" s="899"/>
      <c r="M2409" s="899"/>
      <c r="N2409" s="899"/>
      <c r="O2409" s="899"/>
      <c r="P2409" s="899"/>
      <c r="Q2409" s="573"/>
      <c r="R2409" s="573"/>
      <c r="S2409" s="573"/>
      <c r="T2409" s="573"/>
      <c r="U2409" s="573"/>
      <c r="V2409" s="573"/>
      <c r="W2409" s="573"/>
      <c r="X2409" s="573"/>
      <c r="Y2409" s="573"/>
      <c r="Z2409" s="573"/>
    </row>
    <row r="2410" spans="1:26" ht="18.75">
      <c r="A2410" s="677"/>
      <c r="B2410" s="677"/>
      <c r="C2410" s="677"/>
      <c r="D2410" s="896"/>
      <c r="E2410" s="677"/>
      <c r="F2410" s="677"/>
      <c r="G2410" s="677"/>
      <c r="H2410" s="897"/>
      <c r="I2410" s="898"/>
      <c r="J2410" s="898"/>
      <c r="K2410" s="899"/>
      <c r="L2410" s="899"/>
      <c r="M2410" s="899"/>
      <c r="N2410" s="899"/>
      <c r="O2410" s="899"/>
      <c r="P2410" s="899"/>
      <c r="Q2410" s="573"/>
      <c r="R2410" s="573"/>
      <c r="S2410" s="573"/>
      <c r="T2410" s="573"/>
      <c r="U2410" s="573"/>
      <c r="V2410" s="573"/>
      <c r="W2410" s="573"/>
      <c r="X2410" s="573"/>
      <c r="Y2410" s="573"/>
      <c r="Z2410" s="573"/>
    </row>
    <row r="2411" spans="1:26" ht="18.75">
      <c r="A2411" s="677"/>
      <c r="B2411" s="677"/>
      <c r="C2411" s="677"/>
      <c r="D2411" s="896"/>
      <c r="E2411" s="677"/>
      <c r="F2411" s="677"/>
      <c r="G2411" s="677"/>
      <c r="H2411" s="897"/>
      <c r="I2411" s="898"/>
      <c r="J2411" s="898"/>
      <c r="K2411" s="899"/>
      <c r="L2411" s="899"/>
      <c r="M2411" s="899"/>
      <c r="N2411" s="899"/>
      <c r="O2411" s="899"/>
      <c r="P2411" s="899"/>
      <c r="Q2411" s="573"/>
      <c r="R2411" s="573"/>
      <c r="S2411" s="573"/>
      <c r="T2411" s="573"/>
      <c r="U2411" s="573"/>
      <c r="V2411" s="573"/>
      <c r="W2411" s="573"/>
      <c r="X2411" s="573"/>
      <c r="Y2411" s="573"/>
      <c r="Z2411" s="573"/>
    </row>
    <row r="2412" spans="1:26" ht="18.75">
      <c r="A2412" s="677"/>
      <c r="B2412" s="677"/>
      <c r="C2412" s="677"/>
      <c r="D2412" s="896"/>
      <c r="E2412" s="677"/>
      <c r="F2412" s="677"/>
      <c r="G2412" s="677"/>
      <c r="H2412" s="897"/>
      <c r="I2412" s="898"/>
      <c r="J2412" s="898"/>
      <c r="K2412" s="899"/>
      <c r="L2412" s="899"/>
      <c r="M2412" s="899"/>
      <c r="N2412" s="899"/>
      <c r="O2412" s="899"/>
      <c r="P2412" s="899"/>
      <c r="Q2412" s="573"/>
      <c r="R2412" s="573"/>
      <c r="S2412" s="573"/>
      <c r="T2412" s="573"/>
      <c r="U2412" s="573"/>
      <c r="V2412" s="573"/>
      <c r="W2412" s="573"/>
      <c r="X2412" s="573"/>
      <c r="Y2412" s="573"/>
      <c r="Z2412" s="573"/>
    </row>
    <row r="2413" spans="1:26" ht="18.75">
      <c r="A2413" s="677"/>
      <c r="B2413" s="677"/>
      <c r="C2413" s="677"/>
      <c r="D2413" s="896"/>
      <c r="E2413" s="677"/>
      <c r="F2413" s="677"/>
      <c r="G2413" s="677"/>
      <c r="H2413" s="897"/>
      <c r="I2413" s="898"/>
      <c r="J2413" s="898"/>
      <c r="K2413" s="899"/>
      <c r="L2413" s="899"/>
      <c r="M2413" s="899"/>
      <c r="N2413" s="899"/>
      <c r="O2413" s="899"/>
      <c r="P2413" s="899"/>
      <c r="Q2413" s="573"/>
      <c r="R2413" s="573"/>
      <c r="S2413" s="573"/>
      <c r="T2413" s="573"/>
      <c r="U2413" s="573"/>
      <c r="V2413" s="573"/>
      <c r="W2413" s="573"/>
      <c r="X2413" s="573"/>
      <c r="Y2413" s="573"/>
      <c r="Z2413" s="573"/>
    </row>
    <row r="2414" spans="1:26" ht="18.75">
      <c r="A2414" s="677"/>
      <c r="B2414" s="677"/>
      <c r="C2414" s="677"/>
      <c r="D2414" s="896"/>
      <c r="E2414" s="677"/>
      <c r="F2414" s="677"/>
      <c r="G2414" s="677"/>
      <c r="H2414" s="897"/>
      <c r="I2414" s="898"/>
      <c r="J2414" s="898"/>
      <c r="K2414" s="899"/>
      <c r="L2414" s="899"/>
      <c r="M2414" s="899"/>
      <c r="N2414" s="899"/>
      <c r="O2414" s="899"/>
      <c r="P2414" s="899"/>
      <c r="Q2414" s="573"/>
      <c r="R2414" s="573"/>
      <c r="S2414" s="573"/>
      <c r="T2414" s="573"/>
      <c r="U2414" s="573"/>
      <c r="V2414" s="573"/>
      <c r="W2414" s="573"/>
      <c r="X2414" s="573"/>
      <c r="Y2414" s="573"/>
      <c r="Z2414" s="573"/>
    </row>
    <row r="2415" spans="1:26" ht="18.75">
      <c r="A2415" s="677"/>
      <c r="B2415" s="677"/>
      <c r="C2415" s="677"/>
      <c r="D2415" s="896"/>
      <c r="E2415" s="677"/>
      <c r="F2415" s="677"/>
      <c r="G2415" s="677"/>
      <c r="H2415" s="897"/>
      <c r="I2415" s="898"/>
      <c r="J2415" s="898"/>
      <c r="K2415" s="899"/>
      <c r="L2415" s="899"/>
      <c r="M2415" s="899"/>
      <c r="N2415" s="899"/>
      <c r="O2415" s="899"/>
      <c r="P2415" s="899"/>
      <c r="Q2415" s="573"/>
      <c r="R2415" s="573"/>
      <c r="S2415" s="573"/>
      <c r="T2415" s="573"/>
      <c r="U2415" s="573"/>
      <c r="V2415" s="573"/>
      <c r="W2415" s="573"/>
      <c r="X2415" s="573"/>
      <c r="Y2415" s="573"/>
      <c r="Z2415" s="573"/>
    </row>
    <row r="2416" spans="1:26" ht="18.75">
      <c r="A2416" s="677"/>
      <c r="B2416" s="677"/>
      <c r="C2416" s="677"/>
      <c r="D2416" s="896"/>
      <c r="E2416" s="677"/>
      <c r="F2416" s="677"/>
      <c r="G2416" s="677"/>
      <c r="H2416" s="897"/>
      <c r="I2416" s="898"/>
      <c r="J2416" s="898"/>
      <c r="K2416" s="899"/>
      <c r="L2416" s="899"/>
      <c r="M2416" s="899"/>
      <c r="N2416" s="899"/>
      <c r="O2416" s="899"/>
      <c r="P2416" s="899"/>
      <c r="Q2416" s="573"/>
      <c r="R2416" s="573"/>
      <c r="S2416" s="573"/>
      <c r="T2416" s="573"/>
      <c r="U2416" s="573"/>
      <c r="V2416" s="573"/>
      <c r="W2416" s="573"/>
      <c r="X2416" s="573"/>
      <c r="Y2416" s="573"/>
      <c r="Z2416" s="573"/>
    </row>
    <row r="2417" spans="1:26" ht="18.75">
      <c r="A2417" s="677"/>
      <c r="B2417" s="677"/>
      <c r="C2417" s="677"/>
      <c r="D2417" s="896"/>
      <c r="E2417" s="677"/>
      <c r="F2417" s="677"/>
      <c r="G2417" s="677"/>
      <c r="H2417" s="897"/>
      <c r="I2417" s="898"/>
      <c r="J2417" s="898"/>
      <c r="K2417" s="899"/>
      <c r="L2417" s="899"/>
      <c r="M2417" s="899"/>
      <c r="N2417" s="899"/>
      <c r="O2417" s="899"/>
      <c r="P2417" s="899"/>
      <c r="Q2417" s="573"/>
      <c r="R2417" s="573"/>
      <c r="S2417" s="573"/>
      <c r="T2417" s="573"/>
      <c r="U2417" s="573"/>
      <c r="V2417" s="573"/>
      <c r="W2417" s="573"/>
      <c r="X2417" s="573"/>
      <c r="Y2417" s="573"/>
      <c r="Z2417" s="573"/>
    </row>
    <row r="2418" spans="1:26" ht="18.75">
      <c r="A2418" s="677"/>
      <c r="B2418" s="677"/>
      <c r="C2418" s="677"/>
      <c r="D2418" s="896"/>
      <c r="E2418" s="677"/>
      <c r="F2418" s="677"/>
      <c r="G2418" s="677"/>
      <c r="H2418" s="897"/>
      <c r="I2418" s="898"/>
      <c r="J2418" s="898"/>
      <c r="K2418" s="899"/>
      <c r="L2418" s="899"/>
      <c r="M2418" s="899"/>
      <c r="N2418" s="899"/>
      <c r="O2418" s="899"/>
      <c r="P2418" s="899"/>
      <c r="Q2418" s="573"/>
      <c r="R2418" s="573"/>
      <c r="S2418" s="573"/>
      <c r="T2418" s="573"/>
      <c r="U2418" s="573"/>
      <c r="V2418" s="573"/>
      <c r="W2418" s="573"/>
      <c r="X2418" s="573"/>
      <c r="Y2418" s="573"/>
      <c r="Z2418" s="573"/>
    </row>
    <row r="2419" spans="1:26" ht="18.75">
      <c r="A2419" s="677"/>
      <c r="B2419" s="677"/>
      <c r="C2419" s="677"/>
      <c r="D2419" s="896"/>
      <c r="E2419" s="677"/>
      <c r="F2419" s="677"/>
      <c r="G2419" s="677"/>
      <c r="H2419" s="897"/>
      <c r="I2419" s="898"/>
      <c r="J2419" s="898"/>
      <c r="K2419" s="899"/>
      <c r="L2419" s="899"/>
      <c r="M2419" s="899"/>
      <c r="N2419" s="899"/>
      <c r="O2419" s="899"/>
      <c r="P2419" s="899"/>
      <c r="Q2419" s="573"/>
      <c r="R2419" s="573"/>
      <c r="S2419" s="573"/>
      <c r="T2419" s="573"/>
      <c r="U2419" s="573"/>
      <c r="V2419" s="573"/>
      <c r="W2419" s="573"/>
      <c r="X2419" s="573"/>
      <c r="Y2419" s="573"/>
      <c r="Z2419" s="573"/>
    </row>
    <row r="2420" spans="1:26" ht="18.75">
      <c r="A2420" s="677"/>
      <c r="B2420" s="677"/>
      <c r="C2420" s="677"/>
      <c r="D2420" s="896"/>
      <c r="E2420" s="677"/>
      <c r="F2420" s="677"/>
      <c r="G2420" s="677"/>
      <c r="H2420" s="897"/>
      <c r="I2420" s="898"/>
      <c r="J2420" s="898"/>
      <c r="K2420" s="899"/>
      <c r="L2420" s="899"/>
      <c r="M2420" s="899"/>
      <c r="N2420" s="899"/>
      <c r="O2420" s="899"/>
      <c r="P2420" s="899"/>
      <c r="Q2420" s="573"/>
      <c r="R2420" s="573"/>
      <c r="S2420" s="573"/>
      <c r="T2420" s="573"/>
      <c r="U2420" s="573"/>
      <c r="V2420" s="573"/>
      <c r="W2420" s="573"/>
      <c r="X2420" s="573"/>
      <c r="Y2420" s="573"/>
      <c r="Z2420" s="573"/>
    </row>
    <row r="2421" spans="1:26" ht="18.75">
      <c r="A2421" s="677"/>
      <c r="B2421" s="677"/>
      <c r="C2421" s="677"/>
      <c r="D2421" s="896"/>
      <c r="E2421" s="677"/>
      <c r="F2421" s="677"/>
      <c r="G2421" s="677"/>
      <c r="H2421" s="897"/>
      <c r="I2421" s="898"/>
      <c r="J2421" s="898"/>
      <c r="K2421" s="899"/>
      <c r="L2421" s="899"/>
      <c r="M2421" s="899"/>
      <c r="N2421" s="899"/>
      <c r="O2421" s="899"/>
      <c r="P2421" s="899"/>
      <c r="Q2421" s="573"/>
      <c r="R2421" s="573"/>
      <c r="S2421" s="573"/>
      <c r="T2421" s="573"/>
      <c r="U2421" s="573"/>
      <c r="V2421" s="573"/>
      <c r="W2421" s="573"/>
      <c r="X2421" s="573"/>
      <c r="Y2421" s="573"/>
      <c r="Z2421" s="573"/>
    </row>
    <row r="2422" spans="1:26" ht="18.75">
      <c r="A2422" s="677"/>
      <c r="B2422" s="677"/>
      <c r="C2422" s="677"/>
      <c r="D2422" s="896"/>
      <c r="E2422" s="677"/>
      <c r="F2422" s="677"/>
      <c r="G2422" s="677"/>
      <c r="H2422" s="897"/>
      <c r="I2422" s="898"/>
      <c r="J2422" s="898"/>
      <c r="K2422" s="899"/>
      <c r="L2422" s="899"/>
      <c r="M2422" s="899"/>
      <c r="N2422" s="899"/>
      <c r="O2422" s="899"/>
      <c r="P2422" s="899"/>
      <c r="Q2422" s="573"/>
      <c r="R2422" s="573"/>
      <c r="S2422" s="573"/>
      <c r="T2422" s="573"/>
      <c r="U2422" s="573"/>
      <c r="V2422" s="573"/>
      <c r="W2422" s="573"/>
      <c r="X2422" s="573"/>
      <c r="Y2422" s="573"/>
      <c r="Z2422" s="573"/>
    </row>
    <row r="2423" spans="1:26" ht="18.75">
      <c r="A2423" s="677"/>
      <c r="B2423" s="677"/>
      <c r="C2423" s="677"/>
      <c r="D2423" s="896"/>
      <c r="E2423" s="677"/>
      <c r="F2423" s="677"/>
      <c r="G2423" s="677"/>
      <c r="H2423" s="897"/>
      <c r="I2423" s="898"/>
      <c r="J2423" s="898"/>
      <c r="K2423" s="899"/>
      <c r="L2423" s="899"/>
      <c r="M2423" s="899"/>
      <c r="N2423" s="899"/>
      <c r="O2423" s="899"/>
      <c r="P2423" s="899"/>
      <c r="Q2423" s="573"/>
      <c r="R2423" s="573"/>
      <c r="S2423" s="573"/>
      <c r="T2423" s="573"/>
      <c r="U2423" s="573"/>
      <c r="V2423" s="573"/>
      <c r="W2423" s="573"/>
      <c r="X2423" s="573"/>
      <c r="Y2423" s="573"/>
      <c r="Z2423" s="573"/>
    </row>
    <row r="2424" spans="1:26" ht="18.75">
      <c r="A2424" s="677"/>
      <c r="B2424" s="677"/>
      <c r="C2424" s="677"/>
      <c r="D2424" s="896"/>
      <c r="E2424" s="677"/>
      <c r="F2424" s="677"/>
      <c r="G2424" s="677"/>
      <c r="H2424" s="897"/>
      <c r="I2424" s="898"/>
      <c r="J2424" s="898"/>
      <c r="K2424" s="899"/>
      <c r="L2424" s="899"/>
      <c r="M2424" s="899"/>
      <c r="N2424" s="899"/>
      <c r="O2424" s="899"/>
      <c r="P2424" s="899"/>
      <c r="Q2424" s="573"/>
      <c r="R2424" s="573"/>
      <c r="S2424" s="573"/>
      <c r="T2424" s="573"/>
      <c r="U2424" s="573"/>
      <c r="V2424" s="573"/>
      <c r="W2424" s="573"/>
      <c r="X2424" s="573"/>
      <c r="Y2424" s="573"/>
      <c r="Z2424" s="573"/>
    </row>
    <row r="2425" spans="1:26" ht="18.75">
      <c r="A2425" s="677"/>
      <c r="B2425" s="677"/>
      <c r="C2425" s="677"/>
      <c r="D2425" s="896"/>
      <c r="E2425" s="677"/>
      <c r="F2425" s="677"/>
      <c r="G2425" s="677"/>
      <c r="H2425" s="897"/>
      <c r="I2425" s="898"/>
      <c r="J2425" s="898"/>
      <c r="K2425" s="899"/>
      <c r="L2425" s="899"/>
      <c r="M2425" s="899"/>
      <c r="N2425" s="899"/>
      <c r="O2425" s="899"/>
      <c r="P2425" s="899"/>
      <c r="Q2425" s="573"/>
      <c r="R2425" s="573"/>
      <c r="S2425" s="573"/>
      <c r="T2425" s="573"/>
      <c r="U2425" s="573"/>
      <c r="V2425" s="573"/>
      <c r="W2425" s="573"/>
      <c r="X2425" s="573"/>
      <c r="Y2425" s="573"/>
      <c r="Z2425" s="573"/>
    </row>
    <row r="2426" spans="1:26" ht="18.75">
      <c r="A2426" s="677"/>
      <c r="B2426" s="677"/>
      <c r="C2426" s="677"/>
      <c r="D2426" s="896"/>
      <c r="E2426" s="677"/>
      <c r="F2426" s="677"/>
      <c r="G2426" s="677"/>
      <c r="H2426" s="897"/>
      <c r="I2426" s="898"/>
      <c r="J2426" s="898"/>
      <c r="K2426" s="899"/>
      <c r="L2426" s="899"/>
      <c r="M2426" s="899"/>
      <c r="N2426" s="899"/>
      <c r="O2426" s="899"/>
      <c r="P2426" s="899"/>
      <c r="Q2426" s="573"/>
      <c r="R2426" s="573"/>
      <c r="S2426" s="573"/>
      <c r="T2426" s="573"/>
      <c r="U2426" s="573"/>
      <c r="V2426" s="573"/>
      <c r="W2426" s="573"/>
      <c r="X2426" s="573"/>
      <c r="Y2426" s="573"/>
      <c r="Z2426" s="573"/>
    </row>
    <row r="2427" spans="1:26" ht="18.75">
      <c r="A2427" s="677"/>
      <c r="B2427" s="677"/>
      <c r="C2427" s="677"/>
      <c r="D2427" s="896"/>
      <c r="E2427" s="677"/>
      <c r="F2427" s="677"/>
      <c r="G2427" s="677"/>
      <c r="H2427" s="897"/>
      <c r="I2427" s="898"/>
      <c r="J2427" s="898"/>
      <c r="K2427" s="899"/>
      <c r="L2427" s="899"/>
      <c r="M2427" s="899"/>
      <c r="N2427" s="899"/>
      <c r="O2427" s="899"/>
      <c r="P2427" s="899"/>
      <c r="Q2427" s="573"/>
      <c r="R2427" s="573"/>
      <c r="S2427" s="573"/>
      <c r="T2427" s="573"/>
      <c r="U2427" s="573"/>
      <c r="V2427" s="573"/>
      <c r="W2427" s="573"/>
      <c r="X2427" s="573"/>
      <c r="Y2427" s="573"/>
      <c r="Z2427" s="573"/>
    </row>
    <row r="2428" spans="1:26" ht="18.75">
      <c r="A2428" s="677"/>
      <c r="B2428" s="677"/>
      <c r="C2428" s="677"/>
      <c r="D2428" s="896"/>
      <c r="E2428" s="677"/>
      <c r="F2428" s="677"/>
      <c r="G2428" s="677"/>
      <c r="H2428" s="897"/>
      <c r="I2428" s="898"/>
      <c r="J2428" s="898"/>
      <c r="K2428" s="899"/>
      <c r="L2428" s="899"/>
      <c r="M2428" s="899"/>
      <c r="N2428" s="899"/>
      <c r="O2428" s="899"/>
      <c r="P2428" s="899"/>
      <c r="Q2428" s="573"/>
      <c r="R2428" s="573"/>
      <c r="S2428" s="573"/>
      <c r="T2428" s="573"/>
      <c r="U2428" s="573"/>
      <c r="V2428" s="573"/>
      <c r="W2428" s="573"/>
      <c r="X2428" s="573"/>
      <c r="Y2428" s="573"/>
      <c r="Z2428" s="573"/>
    </row>
    <row r="2429" spans="1:26" ht="18.75">
      <c r="A2429" s="677"/>
      <c r="B2429" s="677"/>
      <c r="C2429" s="677"/>
      <c r="D2429" s="896"/>
      <c r="E2429" s="677"/>
      <c r="F2429" s="677"/>
      <c r="G2429" s="677"/>
      <c r="H2429" s="897"/>
      <c r="I2429" s="898"/>
      <c r="J2429" s="898"/>
      <c r="K2429" s="899"/>
      <c r="L2429" s="899"/>
      <c r="M2429" s="899"/>
      <c r="N2429" s="899"/>
      <c r="O2429" s="899"/>
      <c r="P2429" s="899"/>
      <c r="Q2429" s="573"/>
      <c r="R2429" s="573"/>
      <c r="S2429" s="573"/>
      <c r="T2429" s="573"/>
      <c r="U2429" s="573"/>
      <c r="V2429" s="573"/>
      <c r="W2429" s="573"/>
      <c r="X2429" s="573"/>
      <c r="Y2429" s="573"/>
      <c r="Z2429" s="573"/>
    </row>
    <row r="2430" spans="1:26" ht="18.75">
      <c r="A2430" s="677"/>
      <c r="B2430" s="677"/>
      <c r="C2430" s="677"/>
      <c r="D2430" s="896"/>
      <c r="E2430" s="677"/>
      <c r="F2430" s="677"/>
      <c r="G2430" s="677"/>
      <c r="H2430" s="897"/>
      <c r="I2430" s="898"/>
      <c r="J2430" s="898"/>
      <c r="K2430" s="899"/>
      <c r="L2430" s="899"/>
      <c r="M2430" s="899"/>
      <c r="N2430" s="899"/>
      <c r="O2430" s="899"/>
      <c r="P2430" s="899"/>
      <c r="Q2430" s="573"/>
      <c r="R2430" s="573"/>
      <c r="S2430" s="573"/>
      <c r="T2430" s="573"/>
      <c r="U2430" s="573"/>
      <c r="V2430" s="573"/>
      <c r="W2430" s="573"/>
      <c r="X2430" s="573"/>
      <c r="Y2430" s="573"/>
      <c r="Z2430" s="573"/>
    </row>
    <row r="2431" spans="1:26" ht="18.75">
      <c r="A2431" s="677"/>
      <c r="B2431" s="677"/>
      <c r="C2431" s="677"/>
      <c r="D2431" s="896"/>
      <c r="E2431" s="677"/>
      <c r="F2431" s="677"/>
      <c r="G2431" s="677"/>
      <c r="H2431" s="897"/>
      <c r="I2431" s="898"/>
      <c r="J2431" s="898"/>
      <c r="K2431" s="899"/>
      <c r="L2431" s="899"/>
      <c r="M2431" s="899"/>
      <c r="N2431" s="899"/>
      <c r="O2431" s="899"/>
      <c r="P2431" s="899"/>
      <c r="Q2431" s="573"/>
      <c r="R2431" s="573"/>
      <c r="S2431" s="573"/>
      <c r="T2431" s="573"/>
      <c r="U2431" s="573"/>
      <c r="V2431" s="573"/>
      <c r="W2431" s="573"/>
      <c r="X2431" s="573"/>
      <c r="Y2431" s="573"/>
      <c r="Z2431" s="573"/>
    </row>
    <row r="2432" spans="1:26" ht="18.75">
      <c r="A2432" s="677"/>
      <c r="B2432" s="677"/>
      <c r="C2432" s="677"/>
      <c r="D2432" s="896"/>
      <c r="E2432" s="677"/>
      <c r="F2432" s="677"/>
      <c r="G2432" s="677"/>
      <c r="H2432" s="897"/>
      <c r="I2432" s="898"/>
      <c r="J2432" s="898"/>
      <c r="K2432" s="899"/>
      <c r="L2432" s="899"/>
      <c r="M2432" s="899"/>
      <c r="N2432" s="899"/>
      <c r="O2432" s="899"/>
      <c r="P2432" s="899"/>
      <c r="Q2432" s="573"/>
      <c r="R2432" s="573"/>
      <c r="S2432" s="573"/>
      <c r="T2432" s="573"/>
      <c r="U2432" s="573"/>
      <c r="V2432" s="573"/>
      <c r="W2432" s="573"/>
      <c r="X2432" s="573"/>
      <c r="Y2432" s="573"/>
      <c r="Z2432" s="573"/>
    </row>
    <row r="2433" spans="1:26" ht="18.75">
      <c r="A2433" s="677"/>
      <c r="B2433" s="677"/>
      <c r="C2433" s="677"/>
      <c r="D2433" s="896"/>
      <c r="E2433" s="677"/>
      <c r="F2433" s="677"/>
      <c r="G2433" s="677"/>
      <c r="H2433" s="897"/>
      <c r="I2433" s="898"/>
      <c r="J2433" s="898"/>
      <c r="K2433" s="899"/>
      <c r="L2433" s="899"/>
      <c r="M2433" s="899"/>
      <c r="N2433" s="899"/>
      <c r="O2433" s="899"/>
      <c r="P2433" s="899"/>
      <c r="Q2433" s="573"/>
      <c r="R2433" s="573"/>
      <c r="S2433" s="573"/>
      <c r="T2433" s="573"/>
      <c r="U2433" s="573"/>
      <c r="V2433" s="573"/>
      <c r="W2433" s="573"/>
      <c r="X2433" s="573"/>
      <c r="Y2433" s="573"/>
      <c r="Z2433" s="573"/>
    </row>
    <row r="2434" spans="1:26" ht="18.75">
      <c r="A2434" s="677"/>
      <c r="B2434" s="677"/>
      <c r="C2434" s="677"/>
      <c r="D2434" s="896"/>
      <c r="E2434" s="677"/>
      <c r="F2434" s="677"/>
      <c r="G2434" s="677"/>
      <c r="H2434" s="897"/>
      <c r="I2434" s="898"/>
      <c r="J2434" s="898"/>
      <c r="K2434" s="899"/>
      <c r="L2434" s="899"/>
      <c r="M2434" s="899"/>
      <c r="N2434" s="899"/>
      <c r="O2434" s="899"/>
      <c r="P2434" s="899"/>
      <c r="Q2434" s="573"/>
      <c r="R2434" s="573"/>
      <c r="S2434" s="573"/>
      <c r="T2434" s="573"/>
      <c r="U2434" s="573"/>
      <c r="V2434" s="573"/>
      <c r="W2434" s="573"/>
      <c r="X2434" s="573"/>
      <c r="Y2434" s="573"/>
      <c r="Z2434" s="573"/>
    </row>
    <row r="2435" spans="1:26" ht="18.75">
      <c r="A2435" s="677"/>
      <c r="B2435" s="677"/>
      <c r="C2435" s="677"/>
      <c r="D2435" s="896"/>
      <c r="E2435" s="677"/>
      <c r="F2435" s="677"/>
      <c r="G2435" s="677"/>
      <c r="H2435" s="897"/>
      <c r="I2435" s="898"/>
      <c r="J2435" s="898"/>
      <c r="K2435" s="899"/>
      <c r="L2435" s="899"/>
      <c r="M2435" s="899"/>
      <c r="N2435" s="899"/>
      <c r="O2435" s="899"/>
      <c r="P2435" s="899"/>
      <c r="Q2435" s="573"/>
      <c r="R2435" s="573"/>
      <c r="S2435" s="573"/>
      <c r="T2435" s="573"/>
      <c r="U2435" s="573"/>
      <c r="V2435" s="573"/>
      <c r="W2435" s="573"/>
      <c r="X2435" s="573"/>
      <c r="Y2435" s="573"/>
      <c r="Z2435" s="573"/>
    </row>
    <row r="2436" spans="1:26" ht="18.75">
      <c r="A2436" s="677"/>
      <c r="B2436" s="677"/>
      <c r="C2436" s="677"/>
      <c r="D2436" s="896"/>
      <c r="E2436" s="677"/>
      <c r="F2436" s="677"/>
      <c r="G2436" s="677"/>
      <c r="H2436" s="897"/>
      <c r="I2436" s="898"/>
      <c r="J2436" s="898"/>
      <c r="K2436" s="899"/>
      <c r="L2436" s="899"/>
      <c r="M2436" s="899"/>
      <c r="N2436" s="899"/>
      <c r="O2436" s="899"/>
      <c r="P2436" s="899"/>
      <c r="Q2436" s="573"/>
      <c r="R2436" s="573"/>
      <c r="S2436" s="573"/>
      <c r="T2436" s="573"/>
      <c r="U2436" s="573"/>
      <c r="V2436" s="573"/>
      <c r="W2436" s="573"/>
      <c r="X2436" s="573"/>
      <c r="Y2436" s="573"/>
      <c r="Z2436" s="573"/>
    </row>
    <row r="2437" spans="1:26" ht="18.75">
      <c r="A2437" s="677"/>
      <c r="B2437" s="677"/>
      <c r="C2437" s="677"/>
      <c r="D2437" s="896"/>
      <c r="E2437" s="677"/>
      <c r="F2437" s="677"/>
      <c r="G2437" s="677"/>
      <c r="H2437" s="897"/>
      <c r="I2437" s="898"/>
      <c r="J2437" s="898"/>
      <c r="K2437" s="899"/>
      <c r="L2437" s="899"/>
      <c r="M2437" s="899"/>
      <c r="N2437" s="899"/>
      <c r="O2437" s="899"/>
      <c r="P2437" s="899"/>
      <c r="Q2437" s="573"/>
      <c r="R2437" s="573"/>
      <c r="S2437" s="573"/>
      <c r="T2437" s="573"/>
      <c r="U2437" s="573"/>
      <c r="V2437" s="573"/>
      <c r="W2437" s="573"/>
      <c r="X2437" s="573"/>
      <c r="Y2437" s="573"/>
      <c r="Z2437" s="573"/>
    </row>
    <row r="2438" spans="1:26" ht="18.75">
      <c r="A2438" s="677"/>
      <c r="B2438" s="677"/>
      <c r="C2438" s="677"/>
      <c r="D2438" s="896"/>
      <c r="E2438" s="677"/>
      <c r="F2438" s="677"/>
      <c r="G2438" s="677"/>
      <c r="H2438" s="897"/>
      <c r="I2438" s="898"/>
      <c r="J2438" s="898"/>
      <c r="K2438" s="899"/>
      <c r="L2438" s="899"/>
      <c r="M2438" s="899"/>
      <c r="N2438" s="899"/>
      <c r="O2438" s="899"/>
      <c r="P2438" s="899"/>
      <c r="Q2438" s="573"/>
      <c r="R2438" s="573"/>
      <c r="S2438" s="573"/>
      <c r="T2438" s="573"/>
      <c r="U2438" s="573"/>
      <c r="V2438" s="573"/>
      <c r="W2438" s="573"/>
      <c r="X2438" s="573"/>
      <c r="Y2438" s="573"/>
      <c r="Z2438" s="573"/>
    </row>
    <row r="2439" spans="1:26" ht="18.75">
      <c r="A2439" s="677"/>
      <c r="B2439" s="677"/>
      <c r="C2439" s="677"/>
      <c r="D2439" s="896"/>
      <c r="E2439" s="677"/>
      <c r="F2439" s="677"/>
      <c r="G2439" s="677"/>
      <c r="H2439" s="897"/>
      <c r="I2439" s="898"/>
      <c r="J2439" s="898"/>
      <c r="K2439" s="899"/>
      <c r="L2439" s="899"/>
      <c r="M2439" s="899"/>
      <c r="N2439" s="899"/>
      <c r="O2439" s="899"/>
      <c r="P2439" s="899"/>
      <c r="Q2439" s="573"/>
      <c r="R2439" s="573"/>
      <c r="S2439" s="573"/>
      <c r="T2439" s="573"/>
      <c r="U2439" s="573"/>
      <c r="V2439" s="573"/>
      <c r="W2439" s="573"/>
      <c r="X2439" s="573"/>
      <c r="Y2439" s="573"/>
      <c r="Z2439" s="573"/>
    </row>
    <row r="2440" spans="1:26" ht="18.75">
      <c r="A2440" s="677"/>
      <c r="B2440" s="677"/>
      <c r="C2440" s="677"/>
      <c r="D2440" s="896"/>
      <c r="E2440" s="677"/>
      <c r="F2440" s="677"/>
      <c r="G2440" s="677"/>
      <c r="H2440" s="897"/>
      <c r="I2440" s="898"/>
      <c r="J2440" s="898"/>
      <c r="K2440" s="899"/>
      <c r="L2440" s="899"/>
      <c r="M2440" s="899"/>
      <c r="N2440" s="899"/>
      <c r="O2440" s="899"/>
      <c r="P2440" s="899"/>
      <c r="Q2440" s="573"/>
      <c r="R2440" s="573"/>
      <c r="S2440" s="573"/>
      <c r="T2440" s="573"/>
      <c r="U2440" s="573"/>
      <c r="V2440" s="573"/>
      <c r="W2440" s="573"/>
      <c r="X2440" s="573"/>
      <c r="Y2440" s="573"/>
      <c r="Z2440" s="573"/>
    </row>
    <row r="2441" spans="1:26" ht="18.75">
      <c r="A2441" s="677"/>
      <c r="B2441" s="677"/>
      <c r="C2441" s="677"/>
      <c r="D2441" s="896"/>
      <c r="E2441" s="677"/>
      <c r="F2441" s="677"/>
      <c r="G2441" s="677"/>
      <c r="H2441" s="897"/>
      <c r="I2441" s="898"/>
      <c r="J2441" s="898"/>
      <c r="K2441" s="899"/>
      <c r="L2441" s="899"/>
      <c r="M2441" s="899"/>
      <c r="N2441" s="899"/>
      <c r="O2441" s="899"/>
      <c r="P2441" s="899"/>
      <c r="Q2441" s="573"/>
      <c r="R2441" s="573"/>
      <c r="S2441" s="573"/>
      <c r="T2441" s="573"/>
      <c r="U2441" s="573"/>
      <c r="V2441" s="573"/>
      <c r="W2441" s="573"/>
      <c r="X2441" s="573"/>
      <c r="Y2441" s="573"/>
      <c r="Z2441" s="573"/>
    </row>
    <row r="2442" spans="1:26" ht="18.75">
      <c r="A2442" s="677"/>
      <c r="B2442" s="677"/>
      <c r="C2442" s="677"/>
      <c r="D2442" s="896"/>
      <c r="E2442" s="677"/>
      <c r="F2442" s="677"/>
      <c r="G2442" s="677"/>
      <c r="H2442" s="897"/>
      <c r="I2442" s="898"/>
      <c r="J2442" s="898"/>
      <c r="K2442" s="899"/>
      <c r="L2442" s="899"/>
      <c r="M2442" s="899"/>
      <c r="N2442" s="899"/>
      <c r="O2442" s="899"/>
      <c r="P2442" s="899"/>
      <c r="Q2442" s="573"/>
      <c r="R2442" s="573"/>
      <c r="S2442" s="573"/>
      <c r="T2442" s="573"/>
      <c r="U2442" s="573"/>
      <c r="V2442" s="573"/>
      <c r="W2442" s="573"/>
      <c r="X2442" s="573"/>
      <c r="Y2442" s="573"/>
      <c r="Z2442" s="573"/>
    </row>
    <row r="2443" spans="1:26" ht="18.75">
      <c r="A2443" s="677"/>
      <c r="B2443" s="677"/>
      <c r="C2443" s="677"/>
      <c r="D2443" s="896"/>
      <c r="E2443" s="677"/>
      <c r="F2443" s="677"/>
      <c r="G2443" s="677"/>
      <c r="H2443" s="897"/>
      <c r="I2443" s="898"/>
      <c r="J2443" s="898"/>
      <c r="K2443" s="899"/>
      <c r="L2443" s="899"/>
      <c r="M2443" s="899"/>
      <c r="N2443" s="899"/>
      <c r="O2443" s="899"/>
      <c r="P2443" s="899"/>
      <c r="Q2443" s="573"/>
      <c r="R2443" s="573"/>
      <c r="S2443" s="573"/>
      <c r="T2443" s="573"/>
      <c r="U2443" s="573"/>
      <c r="V2443" s="573"/>
      <c r="W2443" s="573"/>
      <c r="X2443" s="573"/>
      <c r="Y2443" s="573"/>
      <c r="Z2443" s="573"/>
    </row>
    <row r="2444" spans="1:26" ht="18.75">
      <c r="A2444" s="677"/>
      <c r="B2444" s="677"/>
      <c r="C2444" s="677"/>
      <c r="D2444" s="896"/>
      <c r="E2444" s="677"/>
      <c r="F2444" s="677"/>
      <c r="G2444" s="677"/>
      <c r="H2444" s="897"/>
      <c r="I2444" s="898"/>
      <c r="J2444" s="898"/>
      <c r="K2444" s="899"/>
      <c r="L2444" s="899"/>
      <c r="M2444" s="899"/>
      <c r="N2444" s="899"/>
      <c r="O2444" s="899"/>
      <c r="P2444" s="899"/>
      <c r="Q2444" s="573"/>
      <c r="R2444" s="573"/>
      <c r="S2444" s="573"/>
      <c r="T2444" s="573"/>
      <c r="U2444" s="573"/>
      <c r="V2444" s="573"/>
      <c r="W2444" s="573"/>
      <c r="X2444" s="573"/>
      <c r="Y2444" s="573"/>
      <c r="Z2444" s="573"/>
    </row>
    <row r="2445" spans="1:26" ht="18.75">
      <c r="A2445" s="677"/>
      <c r="B2445" s="677"/>
      <c r="C2445" s="677"/>
      <c r="D2445" s="896"/>
      <c r="E2445" s="677"/>
      <c r="F2445" s="677"/>
      <c r="G2445" s="677"/>
      <c r="H2445" s="897"/>
      <c r="I2445" s="898"/>
      <c r="J2445" s="898"/>
      <c r="K2445" s="899"/>
      <c r="L2445" s="899"/>
      <c r="M2445" s="899"/>
      <c r="N2445" s="899"/>
      <c r="O2445" s="899"/>
      <c r="P2445" s="899"/>
      <c r="Q2445" s="573"/>
      <c r="R2445" s="573"/>
      <c r="S2445" s="573"/>
      <c r="T2445" s="573"/>
      <c r="U2445" s="573"/>
      <c r="V2445" s="573"/>
      <c r="W2445" s="573"/>
      <c r="X2445" s="573"/>
      <c r="Y2445" s="573"/>
      <c r="Z2445" s="573"/>
    </row>
    <row r="2446" spans="1:26" ht="18.75">
      <c r="A2446" s="677"/>
      <c r="B2446" s="677"/>
      <c r="C2446" s="677"/>
      <c r="D2446" s="896"/>
      <c r="E2446" s="677"/>
      <c r="F2446" s="677"/>
      <c r="G2446" s="677"/>
      <c r="H2446" s="897"/>
      <c r="I2446" s="898"/>
      <c r="J2446" s="898"/>
      <c r="K2446" s="899"/>
      <c r="L2446" s="899"/>
      <c r="M2446" s="899"/>
      <c r="N2446" s="899"/>
      <c r="O2446" s="899"/>
      <c r="P2446" s="899"/>
      <c r="Q2446" s="573"/>
      <c r="R2446" s="573"/>
      <c r="S2446" s="573"/>
      <c r="T2446" s="573"/>
      <c r="U2446" s="573"/>
      <c r="V2446" s="573"/>
      <c r="W2446" s="573"/>
      <c r="X2446" s="573"/>
      <c r="Y2446" s="573"/>
      <c r="Z2446" s="573"/>
    </row>
    <row r="2447" spans="1:26" ht="18.75">
      <c r="A2447" s="677"/>
      <c r="B2447" s="677"/>
      <c r="C2447" s="677"/>
      <c r="D2447" s="896"/>
      <c r="E2447" s="677"/>
      <c r="F2447" s="677"/>
      <c r="G2447" s="677"/>
      <c r="H2447" s="897"/>
      <c r="I2447" s="898"/>
      <c r="J2447" s="898"/>
      <c r="K2447" s="899"/>
      <c r="L2447" s="899"/>
      <c r="M2447" s="899"/>
      <c r="N2447" s="899"/>
      <c r="O2447" s="899"/>
      <c r="P2447" s="899"/>
      <c r="Q2447" s="573"/>
      <c r="R2447" s="573"/>
      <c r="S2447" s="573"/>
      <c r="T2447" s="573"/>
      <c r="U2447" s="573"/>
      <c r="V2447" s="573"/>
      <c r="W2447" s="573"/>
      <c r="X2447" s="573"/>
      <c r="Y2447" s="573"/>
      <c r="Z2447" s="573"/>
    </row>
    <row r="2448" spans="1:26" ht="18.75">
      <c r="A2448" s="677"/>
      <c r="B2448" s="677"/>
      <c r="C2448" s="677"/>
      <c r="D2448" s="896"/>
      <c r="E2448" s="677"/>
      <c r="F2448" s="677"/>
      <c r="G2448" s="677"/>
      <c r="H2448" s="897"/>
      <c r="I2448" s="898"/>
      <c r="J2448" s="898"/>
      <c r="K2448" s="899"/>
      <c r="L2448" s="899"/>
      <c r="M2448" s="899"/>
      <c r="N2448" s="899"/>
      <c r="O2448" s="899"/>
      <c r="P2448" s="899"/>
      <c r="Q2448" s="573"/>
      <c r="R2448" s="573"/>
      <c r="S2448" s="573"/>
      <c r="T2448" s="573"/>
      <c r="U2448" s="573"/>
      <c r="V2448" s="573"/>
      <c r="W2448" s="573"/>
      <c r="X2448" s="573"/>
      <c r="Y2448" s="573"/>
      <c r="Z2448" s="573"/>
    </row>
    <row r="2449" spans="1:26" ht="18.75">
      <c r="A2449" s="677"/>
      <c r="B2449" s="677"/>
      <c r="C2449" s="677"/>
      <c r="D2449" s="896"/>
      <c r="E2449" s="677"/>
      <c r="F2449" s="677"/>
      <c r="G2449" s="677"/>
      <c r="H2449" s="897"/>
      <c r="I2449" s="898"/>
      <c r="J2449" s="898"/>
      <c r="K2449" s="899"/>
      <c r="L2449" s="899"/>
      <c r="M2449" s="899"/>
      <c r="N2449" s="899"/>
      <c r="O2449" s="899"/>
      <c r="P2449" s="899"/>
      <c r="Q2449" s="573"/>
      <c r="R2449" s="573"/>
      <c r="S2449" s="573"/>
      <c r="T2449" s="573"/>
      <c r="U2449" s="573"/>
      <c r="V2449" s="573"/>
      <c r="W2449" s="573"/>
      <c r="X2449" s="573"/>
      <c r="Y2449" s="573"/>
      <c r="Z2449" s="573"/>
    </row>
    <row r="2450" spans="1:26" ht="18.75">
      <c r="A2450" s="677"/>
      <c r="B2450" s="677"/>
      <c r="C2450" s="677"/>
      <c r="D2450" s="896"/>
      <c r="E2450" s="677"/>
      <c r="F2450" s="677"/>
      <c r="G2450" s="677"/>
      <c r="H2450" s="897"/>
      <c r="I2450" s="898"/>
      <c r="J2450" s="898"/>
      <c r="K2450" s="899"/>
      <c r="L2450" s="899"/>
      <c r="M2450" s="899"/>
      <c r="N2450" s="899"/>
      <c r="O2450" s="899"/>
      <c r="P2450" s="899"/>
      <c r="Q2450" s="573"/>
      <c r="R2450" s="573"/>
      <c r="S2450" s="573"/>
      <c r="T2450" s="573"/>
      <c r="U2450" s="573"/>
      <c r="V2450" s="573"/>
      <c r="W2450" s="573"/>
      <c r="X2450" s="573"/>
      <c r="Y2450" s="573"/>
      <c r="Z2450" s="573"/>
    </row>
    <row r="2451" spans="1:26" ht="18.75">
      <c r="A2451" s="677"/>
      <c r="B2451" s="677"/>
      <c r="C2451" s="677"/>
      <c r="D2451" s="896"/>
      <c r="E2451" s="677"/>
      <c r="F2451" s="677"/>
      <c r="G2451" s="677"/>
      <c r="H2451" s="897"/>
      <c r="I2451" s="898"/>
      <c r="J2451" s="898"/>
      <c r="K2451" s="899"/>
      <c r="L2451" s="899"/>
      <c r="M2451" s="899"/>
      <c r="N2451" s="899"/>
      <c r="O2451" s="899"/>
      <c r="P2451" s="899"/>
      <c r="Q2451" s="573"/>
      <c r="R2451" s="573"/>
      <c r="S2451" s="573"/>
      <c r="T2451" s="573"/>
      <c r="U2451" s="573"/>
      <c r="V2451" s="573"/>
      <c r="W2451" s="573"/>
      <c r="X2451" s="573"/>
      <c r="Y2451" s="573"/>
      <c r="Z2451" s="573"/>
    </row>
    <row r="2452" spans="1:26" ht="18.75">
      <c r="A2452" s="677"/>
      <c r="B2452" s="677"/>
      <c r="C2452" s="677"/>
      <c r="D2452" s="896"/>
      <c r="E2452" s="677"/>
      <c r="F2452" s="677"/>
      <c r="G2452" s="677"/>
      <c r="H2452" s="897"/>
      <c r="I2452" s="898"/>
      <c r="J2452" s="898"/>
      <c r="K2452" s="899"/>
      <c r="L2452" s="899"/>
      <c r="M2452" s="899"/>
      <c r="N2452" s="899"/>
      <c r="O2452" s="899"/>
      <c r="P2452" s="899"/>
      <c r="Q2452" s="573"/>
      <c r="R2452" s="573"/>
      <c r="S2452" s="573"/>
      <c r="T2452" s="573"/>
      <c r="U2452" s="573"/>
      <c r="V2452" s="573"/>
      <c r="W2452" s="573"/>
      <c r="X2452" s="573"/>
      <c r="Y2452" s="573"/>
      <c r="Z2452" s="573"/>
    </row>
    <row r="2453" spans="1:26" ht="18.75">
      <c r="A2453" s="677"/>
      <c r="B2453" s="677"/>
      <c r="C2453" s="677"/>
      <c r="D2453" s="896"/>
      <c r="E2453" s="677"/>
      <c r="F2453" s="677"/>
      <c r="G2453" s="677"/>
      <c r="H2453" s="897"/>
      <c r="I2453" s="898"/>
      <c r="J2453" s="898"/>
      <c r="K2453" s="899"/>
      <c r="L2453" s="899"/>
      <c r="M2453" s="899"/>
      <c r="N2453" s="899"/>
      <c r="O2453" s="899"/>
      <c r="P2453" s="899"/>
      <c r="Q2453" s="573"/>
      <c r="R2453" s="573"/>
      <c r="S2453" s="573"/>
      <c r="T2453" s="573"/>
      <c r="U2453" s="573"/>
      <c r="V2453" s="573"/>
      <c r="W2453" s="573"/>
      <c r="X2453" s="573"/>
      <c r="Y2453" s="573"/>
      <c r="Z2453" s="573"/>
    </row>
    <row r="2454" spans="1:26" ht="18.75">
      <c r="A2454" s="677"/>
      <c r="B2454" s="677"/>
      <c r="C2454" s="677"/>
      <c r="D2454" s="896"/>
      <c r="E2454" s="677"/>
      <c r="F2454" s="677"/>
      <c r="G2454" s="677"/>
      <c r="H2454" s="897"/>
      <c r="I2454" s="898"/>
      <c r="J2454" s="898"/>
      <c r="K2454" s="899"/>
      <c r="L2454" s="899"/>
      <c r="M2454" s="899"/>
      <c r="N2454" s="899"/>
      <c r="O2454" s="899"/>
      <c r="P2454" s="899"/>
      <c r="Q2454" s="573"/>
      <c r="R2454" s="573"/>
      <c r="S2454" s="573"/>
      <c r="T2454" s="573"/>
      <c r="U2454" s="573"/>
      <c r="V2454" s="573"/>
      <c r="W2454" s="573"/>
      <c r="X2454" s="573"/>
      <c r="Y2454" s="573"/>
      <c r="Z2454" s="573"/>
    </row>
    <row r="2455" spans="1:26" ht="18.75">
      <c r="A2455" s="677"/>
      <c r="B2455" s="677"/>
      <c r="C2455" s="677"/>
      <c r="D2455" s="896"/>
      <c r="E2455" s="677"/>
      <c r="F2455" s="677"/>
      <c r="G2455" s="677"/>
      <c r="H2455" s="897"/>
      <c r="I2455" s="898"/>
      <c r="J2455" s="898"/>
      <c r="K2455" s="899"/>
      <c r="L2455" s="899"/>
      <c r="M2455" s="899"/>
      <c r="N2455" s="899"/>
      <c r="O2455" s="899"/>
      <c r="P2455" s="899"/>
      <c r="Q2455" s="573"/>
      <c r="R2455" s="573"/>
      <c r="S2455" s="573"/>
      <c r="T2455" s="573"/>
      <c r="U2455" s="573"/>
      <c r="V2455" s="573"/>
      <c r="W2455" s="573"/>
      <c r="X2455" s="573"/>
      <c r="Y2455" s="573"/>
      <c r="Z2455" s="573"/>
    </row>
    <row r="2456" spans="1:26" ht="18.75">
      <c r="A2456" s="677"/>
      <c r="B2456" s="677"/>
      <c r="C2456" s="677"/>
      <c r="D2456" s="896"/>
      <c r="E2456" s="677"/>
      <c r="F2456" s="677"/>
      <c r="G2456" s="677"/>
      <c r="H2456" s="897"/>
      <c r="I2456" s="898"/>
      <c r="J2456" s="898"/>
      <c r="K2456" s="899"/>
      <c r="L2456" s="899"/>
      <c r="M2456" s="899"/>
      <c r="N2456" s="899"/>
      <c r="O2456" s="899"/>
      <c r="P2456" s="899"/>
      <c r="Q2456" s="573"/>
      <c r="R2456" s="573"/>
      <c r="S2456" s="573"/>
      <c r="T2456" s="573"/>
      <c r="U2456" s="573"/>
      <c r="V2456" s="573"/>
      <c r="W2456" s="573"/>
      <c r="X2456" s="573"/>
      <c r="Y2456" s="573"/>
      <c r="Z2456" s="573"/>
    </row>
    <row r="2457" spans="1:26" ht="18.75">
      <c r="A2457" s="677"/>
      <c r="B2457" s="677"/>
      <c r="C2457" s="677"/>
      <c r="D2457" s="896"/>
      <c r="E2457" s="677"/>
      <c r="F2457" s="677"/>
      <c r="G2457" s="677"/>
      <c r="H2457" s="897"/>
      <c r="I2457" s="898"/>
      <c r="J2457" s="898"/>
      <c r="K2457" s="899"/>
      <c r="L2457" s="899"/>
      <c r="M2457" s="899"/>
      <c r="N2457" s="899"/>
      <c r="O2457" s="899"/>
      <c r="P2457" s="899"/>
      <c r="Q2457" s="573"/>
      <c r="R2457" s="573"/>
      <c r="S2457" s="573"/>
      <c r="T2457" s="573"/>
      <c r="U2457" s="573"/>
      <c r="V2457" s="573"/>
      <c r="W2457" s="573"/>
      <c r="X2457" s="573"/>
      <c r="Y2457" s="573"/>
      <c r="Z2457" s="573"/>
    </row>
    <row r="2458" spans="1:26" ht="18.75">
      <c r="A2458" s="677"/>
      <c r="B2458" s="677"/>
      <c r="C2458" s="677"/>
      <c r="D2458" s="896"/>
      <c r="E2458" s="677"/>
      <c r="F2458" s="677"/>
      <c r="G2458" s="677"/>
      <c r="H2458" s="897"/>
      <c r="I2458" s="898"/>
      <c r="J2458" s="898"/>
      <c r="K2458" s="899"/>
      <c r="L2458" s="899"/>
      <c r="M2458" s="899"/>
      <c r="N2458" s="899"/>
      <c r="O2458" s="899"/>
      <c r="P2458" s="899"/>
      <c r="Q2458" s="573"/>
      <c r="R2458" s="573"/>
      <c r="S2458" s="573"/>
      <c r="T2458" s="573"/>
      <c r="U2458" s="573"/>
      <c r="V2458" s="573"/>
      <c r="W2458" s="573"/>
      <c r="X2458" s="573"/>
      <c r="Y2458" s="573"/>
      <c r="Z2458" s="573"/>
    </row>
    <row r="2459" spans="1:26" ht="18.75">
      <c r="A2459" s="677"/>
      <c r="B2459" s="677"/>
      <c r="C2459" s="677"/>
      <c r="D2459" s="896"/>
      <c r="E2459" s="677"/>
      <c r="F2459" s="677"/>
      <c r="G2459" s="677"/>
      <c r="H2459" s="897"/>
      <c r="I2459" s="898"/>
      <c r="J2459" s="898"/>
      <c r="K2459" s="899"/>
      <c r="L2459" s="899"/>
      <c r="M2459" s="899"/>
      <c r="N2459" s="899"/>
      <c r="O2459" s="899"/>
      <c r="P2459" s="899"/>
      <c r="Q2459" s="573"/>
      <c r="R2459" s="573"/>
      <c r="S2459" s="573"/>
      <c r="T2459" s="573"/>
      <c r="U2459" s="573"/>
      <c r="V2459" s="573"/>
      <c r="W2459" s="573"/>
      <c r="X2459" s="573"/>
      <c r="Y2459" s="573"/>
      <c r="Z2459" s="573"/>
    </row>
    <row r="2460" spans="1:26" ht="18.75">
      <c r="A2460" s="677"/>
      <c r="B2460" s="677"/>
      <c r="C2460" s="677"/>
      <c r="D2460" s="896"/>
      <c r="E2460" s="677"/>
      <c r="F2460" s="677"/>
      <c r="G2460" s="677"/>
      <c r="H2460" s="897"/>
      <c r="I2460" s="898"/>
      <c r="J2460" s="898"/>
      <c r="K2460" s="899"/>
      <c r="L2460" s="899"/>
      <c r="M2460" s="899"/>
      <c r="N2460" s="899"/>
      <c r="O2460" s="899"/>
      <c r="P2460" s="899"/>
      <c r="Q2460" s="573"/>
      <c r="R2460" s="573"/>
      <c r="S2460" s="573"/>
      <c r="T2460" s="573"/>
      <c r="U2460" s="573"/>
      <c r="V2460" s="573"/>
      <c r="W2460" s="573"/>
      <c r="X2460" s="573"/>
      <c r="Y2460" s="573"/>
      <c r="Z2460" s="573"/>
    </row>
    <row r="2461" spans="1:26" ht="18.75">
      <c r="A2461" s="677"/>
      <c r="B2461" s="677"/>
      <c r="C2461" s="677"/>
      <c r="D2461" s="896"/>
      <c r="E2461" s="677"/>
      <c r="F2461" s="677"/>
      <c r="G2461" s="677"/>
      <c r="H2461" s="897"/>
      <c r="I2461" s="898"/>
      <c r="J2461" s="898"/>
      <c r="K2461" s="899"/>
      <c r="L2461" s="899"/>
      <c r="M2461" s="899"/>
      <c r="N2461" s="899"/>
      <c r="O2461" s="899"/>
      <c r="P2461" s="899"/>
      <c r="Q2461" s="573"/>
      <c r="R2461" s="573"/>
      <c r="S2461" s="573"/>
      <c r="T2461" s="573"/>
      <c r="U2461" s="573"/>
      <c r="V2461" s="573"/>
      <c r="W2461" s="573"/>
      <c r="X2461" s="573"/>
      <c r="Y2461" s="573"/>
      <c r="Z2461" s="573"/>
    </row>
    <row r="2462" spans="1:26" ht="18.75">
      <c r="A2462" s="677"/>
      <c r="B2462" s="677"/>
      <c r="C2462" s="677"/>
      <c r="D2462" s="896"/>
      <c r="E2462" s="677"/>
      <c r="F2462" s="677"/>
      <c r="G2462" s="677"/>
      <c r="H2462" s="897"/>
      <c r="I2462" s="898"/>
      <c r="J2462" s="898"/>
      <c r="K2462" s="899"/>
      <c r="L2462" s="899"/>
      <c r="M2462" s="899"/>
      <c r="N2462" s="899"/>
      <c r="O2462" s="899"/>
      <c r="P2462" s="899"/>
      <c r="Q2462" s="573"/>
      <c r="R2462" s="573"/>
      <c r="S2462" s="573"/>
      <c r="T2462" s="573"/>
      <c r="U2462" s="573"/>
      <c r="V2462" s="573"/>
      <c r="W2462" s="573"/>
      <c r="X2462" s="573"/>
      <c r="Y2462" s="573"/>
      <c r="Z2462" s="573"/>
    </row>
    <row r="2463" spans="1:26" ht="18.75">
      <c r="A2463" s="677"/>
      <c r="B2463" s="677"/>
      <c r="C2463" s="677"/>
      <c r="D2463" s="896"/>
      <c r="E2463" s="677"/>
      <c r="F2463" s="677"/>
      <c r="G2463" s="677"/>
      <c r="H2463" s="897"/>
      <c r="I2463" s="898"/>
      <c r="J2463" s="898"/>
      <c r="K2463" s="899"/>
      <c r="L2463" s="899"/>
      <c r="M2463" s="899"/>
      <c r="N2463" s="899"/>
      <c r="O2463" s="899"/>
      <c r="P2463" s="899"/>
      <c r="Q2463" s="573"/>
      <c r="R2463" s="573"/>
      <c r="S2463" s="573"/>
      <c r="T2463" s="573"/>
      <c r="U2463" s="573"/>
      <c r="V2463" s="573"/>
      <c r="W2463" s="573"/>
      <c r="X2463" s="573"/>
      <c r="Y2463" s="573"/>
      <c r="Z2463" s="573"/>
    </row>
    <row r="2464" spans="1:26" ht="18.75">
      <c r="A2464" s="677"/>
      <c r="B2464" s="677"/>
      <c r="C2464" s="677"/>
      <c r="D2464" s="896"/>
      <c r="E2464" s="677"/>
      <c r="F2464" s="677"/>
      <c r="G2464" s="677"/>
      <c r="H2464" s="897"/>
      <c r="I2464" s="898"/>
      <c r="J2464" s="898"/>
      <c r="K2464" s="899"/>
      <c r="L2464" s="899"/>
      <c r="M2464" s="899"/>
      <c r="N2464" s="899"/>
      <c r="O2464" s="899"/>
      <c r="P2464" s="899"/>
      <c r="Q2464" s="573"/>
      <c r="R2464" s="573"/>
      <c r="S2464" s="573"/>
      <c r="T2464" s="573"/>
      <c r="U2464" s="573"/>
      <c r="V2464" s="573"/>
      <c r="W2464" s="573"/>
      <c r="X2464" s="573"/>
      <c r="Y2464" s="573"/>
      <c r="Z2464" s="573"/>
    </row>
    <row r="2465" spans="1:26" ht="18.75">
      <c r="A2465" s="677"/>
      <c r="B2465" s="677"/>
      <c r="C2465" s="677"/>
      <c r="D2465" s="896"/>
      <c r="E2465" s="677"/>
      <c r="F2465" s="677"/>
      <c r="G2465" s="677"/>
      <c r="H2465" s="897"/>
      <c r="I2465" s="898"/>
      <c r="J2465" s="898"/>
      <c r="K2465" s="899"/>
      <c r="L2465" s="899"/>
      <c r="M2465" s="899"/>
      <c r="N2465" s="899"/>
      <c r="O2465" s="899"/>
      <c r="P2465" s="899"/>
      <c r="Q2465" s="573"/>
      <c r="R2465" s="573"/>
      <c r="S2465" s="573"/>
      <c r="T2465" s="573"/>
      <c r="U2465" s="573"/>
      <c r="V2465" s="573"/>
      <c r="W2465" s="573"/>
      <c r="X2465" s="573"/>
      <c r="Y2465" s="573"/>
      <c r="Z2465" s="573"/>
    </row>
    <row r="2466" spans="1:26" ht="18.75">
      <c r="A2466" s="677"/>
      <c r="B2466" s="677"/>
      <c r="C2466" s="677"/>
      <c r="D2466" s="896"/>
      <c r="E2466" s="677"/>
      <c r="F2466" s="677"/>
      <c r="G2466" s="677"/>
      <c r="H2466" s="897"/>
      <c r="I2466" s="898"/>
      <c r="J2466" s="898"/>
      <c r="K2466" s="899"/>
      <c r="L2466" s="899"/>
      <c r="M2466" s="899"/>
      <c r="N2466" s="899"/>
      <c r="O2466" s="899"/>
      <c r="P2466" s="899"/>
      <c r="Q2466" s="573"/>
      <c r="R2466" s="573"/>
      <c r="S2466" s="573"/>
      <c r="T2466" s="573"/>
      <c r="U2466" s="573"/>
      <c r="V2466" s="573"/>
      <c r="W2466" s="573"/>
      <c r="X2466" s="573"/>
      <c r="Y2466" s="573"/>
      <c r="Z2466" s="573"/>
    </row>
    <row r="2467" spans="1:26" ht="18.75">
      <c r="A2467" s="677"/>
      <c r="B2467" s="677"/>
      <c r="C2467" s="677"/>
      <c r="D2467" s="896"/>
      <c r="E2467" s="677"/>
      <c r="F2467" s="677"/>
      <c r="G2467" s="677"/>
      <c r="H2467" s="897"/>
      <c r="I2467" s="898"/>
      <c r="J2467" s="898"/>
      <c r="K2467" s="899"/>
      <c r="L2467" s="899"/>
      <c r="M2467" s="899"/>
      <c r="N2467" s="899"/>
      <c r="O2467" s="899"/>
      <c r="P2467" s="899"/>
      <c r="Q2467" s="573"/>
      <c r="R2467" s="573"/>
      <c r="S2467" s="573"/>
      <c r="T2467" s="573"/>
      <c r="U2467" s="573"/>
      <c r="V2467" s="573"/>
      <c r="W2467" s="573"/>
      <c r="X2467" s="573"/>
      <c r="Y2467" s="573"/>
      <c r="Z2467" s="573"/>
    </row>
    <row r="2468" spans="1:26" ht="18.75">
      <c r="A2468" s="677"/>
      <c r="B2468" s="677"/>
      <c r="C2468" s="677"/>
      <c r="D2468" s="896"/>
      <c r="E2468" s="677"/>
      <c r="F2468" s="677"/>
      <c r="G2468" s="677"/>
      <c r="H2468" s="897"/>
      <c r="I2468" s="898"/>
      <c r="J2468" s="898"/>
      <c r="K2468" s="899"/>
      <c r="L2468" s="899"/>
      <c r="M2468" s="899"/>
      <c r="N2468" s="899"/>
      <c r="O2468" s="899"/>
      <c r="P2468" s="899"/>
      <c r="Q2468" s="573"/>
      <c r="R2468" s="573"/>
      <c r="S2468" s="573"/>
      <c r="T2468" s="573"/>
      <c r="U2468" s="573"/>
      <c r="V2468" s="573"/>
      <c r="W2468" s="573"/>
      <c r="X2468" s="573"/>
      <c r="Y2468" s="573"/>
      <c r="Z2468" s="573"/>
    </row>
    <row r="2469" spans="1:26" ht="18.75">
      <c r="A2469" s="677"/>
      <c r="B2469" s="677"/>
      <c r="C2469" s="677"/>
      <c r="D2469" s="896"/>
      <c r="E2469" s="677"/>
      <c r="F2469" s="677"/>
      <c r="G2469" s="677"/>
      <c r="H2469" s="897"/>
      <c r="I2469" s="898"/>
      <c r="J2469" s="898"/>
      <c r="K2469" s="899"/>
      <c r="L2469" s="899"/>
      <c r="M2469" s="899"/>
      <c r="N2469" s="899"/>
      <c r="O2469" s="899"/>
      <c r="P2469" s="899"/>
      <c r="Q2469" s="573"/>
      <c r="R2469" s="573"/>
      <c r="S2469" s="573"/>
      <c r="T2469" s="573"/>
      <c r="U2469" s="573"/>
      <c r="V2469" s="573"/>
      <c r="W2469" s="573"/>
      <c r="X2469" s="573"/>
      <c r="Y2469" s="573"/>
      <c r="Z2469" s="573"/>
    </row>
    <row r="2470" spans="1:26" ht="18.75">
      <c r="A2470" s="677"/>
      <c r="B2470" s="677"/>
      <c r="C2470" s="677"/>
      <c r="D2470" s="896"/>
      <c r="E2470" s="677"/>
      <c r="F2470" s="677"/>
      <c r="G2470" s="677"/>
      <c r="H2470" s="897"/>
      <c r="I2470" s="898"/>
      <c r="J2470" s="898"/>
      <c r="K2470" s="899"/>
      <c r="L2470" s="899"/>
      <c r="M2470" s="899"/>
      <c r="N2470" s="899"/>
      <c r="O2470" s="899"/>
      <c r="P2470" s="899"/>
      <c r="Q2470" s="573"/>
      <c r="R2470" s="573"/>
      <c r="S2470" s="573"/>
      <c r="T2470" s="573"/>
      <c r="U2470" s="573"/>
      <c r="V2470" s="573"/>
      <c r="W2470" s="573"/>
      <c r="X2470" s="573"/>
      <c r="Y2470" s="573"/>
      <c r="Z2470" s="573"/>
    </row>
    <row r="2471" spans="1:26" ht="18.75">
      <c r="A2471" s="677"/>
      <c r="B2471" s="677"/>
      <c r="C2471" s="677"/>
      <c r="D2471" s="896"/>
      <c r="E2471" s="677"/>
      <c r="F2471" s="677"/>
      <c r="G2471" s="677"/>
      <c r="H2471" s="897"/>
      <c r="I2471" s="898"/>
      <c r="J2471" s="898"/>
      <c r="K2471" s="899"/>
      <c r="L2471" s="899"/>
      <c r="M2471" s="899"/>
      <c r="N2471" s="899"/>
      <c r="O2471" s="899"/>
      <c r="P2471" s="899"/>
      <c r="Q2471" s="573"/>
      <c r="R2471" s="573"/>
      <c r="S2471" s="573"/>
      <c r="T2471" s="573"/>
      <c r="U2471" s="573"/>
      <c r="V2471" s="573"/>
      <c r="W2471" s="573"/>
      <c r="X2471" s="573"/>
      <c r="Y2471" s="573"/>
      <c r="Z2471" s="573"/>
    </row>
    <row r="2472" spans="1:26" ht="18.75">
      <c r="A2472" s="677"/>
      <c r="B2472" s="677"/>
      <c r="C2472" s="677"/>
      <c r="D2472" s="896"/>
      <c r="E2472" s="677"/>
      <c r="F2472" s="677"/>
      <c r="G2472" s="677"/>
      <c r="H2472" s="897"/>
      <c r="I2472" s="898"/>
      <c r="J2472" s="898"/>
      <c r="K2472" s="899"/>
      <c r="L2472" s="899"/>
      <c r="M2472" s="899"/>
      <c r="N2472" s="899"/>
      <c r="O2472" s="899"/>
      <c r="P2472" s="899"/>
      <c r="Q2472" s="573"/>
      <c r="R2472" s="573"/>
      <c r="S2472" s="573"/>
      <c r="T2472" s="573"/>
      <c r="U2472" s="573"/>
      <c r="V2472" s="573"/>
      <c r="W2472" s="573"/>
      <c r="X2472" s="573"/>
      <c r="Y2472" s="573"/>
      <c r="Z2472" s="573"/>
    </row>
    <row r="2473" spans="1:26" ht="18.75">
      <c r="A2473" s="677"/>
      <c r="B2473" s="677"/>
      <c r="C2473" s="677"/>
      <c r="D2473" s="896"/>
      <c r="E2473" s="677"/>
      <c r="F2473" s="677"/>
      <c r="G2473" s="677"/>
      <c r="H2473" s="897"/>
      <c r="I2473" s="898"/>
      <c r="J2473" s="898"/>
      <c r="K2473" s="899"/>
      <c r="L2473" s="899"/>
      <c r="M2473" s="899"/>
      <c r="N2473" s="899"/>
      <c r="O2473" s="899"/>
      <c r="P2473" s="899"/>
      <c r="Q2473" s="573"/>
      <c r="R2473" s="573"/>
      <c r="S2473" s="573"/>
      <c r="T2473" s="573"/>
      <c r="U2473" s="573"/>
      <c r="V2473" s="573"/>
      <c r="W2473" s="573"/>
      <c r="X2473" s="573"/>
      <c r="Y2473" s="573"/>
      <c r="Z2473" s="573"/>
    </row>
    <row r="2474" spans="1:26" ht="18.75">
      <c r="A2474" s="677"/>
      <c r="B2474" s="677"/>
      <c r="C2474" s="677"/>
      <c r="D2474" s="896"/>
      <c r="E2474" s="677"/>
      <c r="F2474" s="677"/>
      <c r="G2474" s="677"/>
      <c r="H2474" s="897"/>
      <c r="I2474" s="898"/>
      <c r="J2474" s="898"/>
      <c r="K2474" s="899"/>
      <c r="L2474" s="899"/>
      <c r="M2474" s="899"/>
      <c r="N2474" s="899"/>
      <c r="O2474" s="899"/>
      <c r="P2474" s="899"/>
      <c r="Q2474" s="573"/>
      <c r="R2474" s="573"/>
      <c r="S2474" s="573"/>
      <c r="T2474" s="573"/>
      <c r="U2474" s="573"/>
      <c r="V2474" s="573"/>
      <c r="W2474" s="573"/>
      <c r="X2474" s="573"/>
      <c r="Y2474" s="573"/>
      <c r="Z2474" s="573"/>
    </row>
    <row r="2475" spans="1:26" ht="18.75">
      <c r="A2475" s="677"/>
      <c r="B2475" s="677"/>
      <c r="C2475" s="677"/>
      <c r="D2475" s="896"/>
      <c r="E2475" s="677"/>
      <c r="F2475" s="677"/>
      <c r="G2475" s="677"/>
      <c r="H2475" s="897"/>
      <c r="I2475" s="898"/>
      <c r="J2475" s="898"/>
      <c r="K2475" s="899"/>
      <c r="L2475" s="899"/>
      <c r="M2475" s="899"/>
      <c r="N2475" s="899"/>
      <c r="O2475" s="899"/>
      <c r="P2475" s="899"/>
      <c r="Q2475" s="573"/>
      <c r="R2475" s="573"/>
      <c r="S2475" s="573"/>
      <c r="T2475" s="573"/>
      <c r="U2475" s="573"/>
      <c r="V2475" s="573"/>
      <c r="W2475" s="573"/>
      <c r="X2475" s="573"/>
      <c r="Y2475" s="573"/>
      <c r="Z2475" s="573"/>
    </row>
    <row r="2476" spans="1:26" ht="18.75">
      <c r="A2476" s="677"/>
      <c r="B2476" s="677"/>
      <c r="C2476" s="677"/>
      <c r="D2476" s="896"/>
      <c r="E2476" s="677"/>
      <c r="F2476" s="677"/>
      <c r="G2476" s="677"/>
      <c r="H2476" s="897"/>
      <c r="I2476" s="898"/>
      <c r="J2476" s="898"/>
      <c r="K2476" s="899"/>
      <c r="L2476" s="899"/>
      <c r="M2476" s="899"/>
      <c r="N2476" s="899"/>
      <c r="O2476" s="899"/>
      <c r="P2476" s="899"/>
      <c r="Q2476" s="573"/>
      <c r="R2476" s="573"/>
      <c r="S2476" s="573"/>
      <c r="T2476" s="573"/>
      <c r="U2476" s="573"/>
      <c r="V2476" s="573"/>
      <c r="W2476" s="573"/>
      <c r="X2476" s="573"/>
      <c r="Y2476" s="573"/>
      <c r="Z2476" s="573"/>
    </row>
    <row r="2477" spans="1:26" ht="18.75">
      <c r="A2477" s="677"/>
      <c r="B2477" s="677"/>
      <c r="C2477" s="677"/>
      <c r="D2477" s="896"/>
      <c r="E2477" s="677"/>
      <c r="F2477" s="677"/>
      <c r="G2477" s="677"/>
      <c r="H2477" s="897"/>
      <c r="I2477" s="898"/>
      <c r="J2477" s="898"/>
      <c r="K2477" s="899"/>
      <c r="L2477" s="899"/>
      <c r="M2477" s="899"/>
      <c r="N2477" s="899"/>
      <c r="O2477" s="899"/>
      <c r="P2477" s="899"/>
      <c r="Q2477" s="573"/>
      <c r="R2477" s="573"/>
      <c r="S2477" s="573"/>
      <c r="T2477" s="573"/>
      <c r="U2477" s="573"/>
      <c r="V2477" s="573"/>
      <c r="W2477" s="573"/>
      <c r="X2477" s="573"/>
      <c r="Y2477" s="573"/>
      <c r="Z2477" s="573"/>
    </row>
    <row r="2478" spans="1:26" ht="18.75">
      <c r="A2478" s="677"/>
      <c r="B2478" s="677"/>
      <c r="C2478" s="677"/>
      <c r="D2478" s="896"/>
      <c r="E2478" s="677"/>
      <c r="F2478" s="677"/>
      <c r="G2478" s="677"/>
      <c r="H2478" s="897"/>
      <c r="I2478" s="898"/>
      <c r="J2478" s="898"/>
      <c r="K2478" s="899"/>
      <c r="L2478" s="899"/>
      <c r="M2478" s="899"/>
      <c r="N2478" s="899"/>
      <c r="O2478" s="899"/>
      <c r="P2478" s="899"/>
      <c r="Q2478" s="573"/>
      <c r="R2478" s="573"/>
      <c r="S2478" s="573"/>
      <c r="T2478" s="573"/>
      <c r="U2478" s="573"/>
      <c r="V2478" s="573"/>
      <c r="W2478" s="573"/>
      <c r="X2478" s="573"/>
      <c r="Y2478" s="573"/>
      <c r="Z2478" s="573"/>
    </row>
    <row r="2479" spans="1:26" ht="18.75">
      <c r="A2479" s="677"/>
      <c r="B2479" s="677"/>
      <c r="C2479" s="677"/>
      <c r="D2479" s="896"/>
      <c r="E2479" s="677"/>
      <c r="F2479" s="677"/>
      <c r="G2479" s="677"/>
      <c r="H2479" s="897"/>
      <c r="I2479" s="898"/>
      <c r="J2479" s="898"/>
      <c r="K2479" s="899"/>
      <c r="L2479" s="899"/>
      <c r="M2479" s="899"/>
      <c r="N2479" s="899"/>
      <c r="O2479" s="899"/>
      <c r="P2479" s="899"/>
      <c r="Q2479" s="573"/>
      <c r="R2479" s="573"/>
      <c r="S2479" s="573"/>
      <c r="T2479" s="573"/>
      <c r="U2479" s="573"/>
      <c r="V2479" s="573"/>
      <c r="W2479" s="573"/>
      <c r="X2479" s="573"/>
      <c r="Y2479" s="573"/>
      <c r="Z2479" s="573"/>
    </row>
    <row r="2480" spans="1:26" ht="18.75">
      <c r="A2480" s="677"/>
      <c r="B2480" s="677"/>
      <c r="C2480" s="677"/>
      <c r="D2480" s="896"/>
      <c r="E2480" s="677"/>
      <c r="F2480" s="677"/>
      <c r="G2480" s="677"/>
      <c r="H2480" s="897"/>
      <c r="I2480" s="898"/>
      <c r="J2480" s="898"/>
      <c r="K2480" s="899"/>
      <c r="L2480" s="899"/>
      <c r="M2480" s="899"/>
      <c r="N2480" s="899"/>
      <c r="O2480" s="899"/>
      <c r="P2480" s="899"/>
      <c r="Q2480" s="573"/>
      <c r="R2480" s="573"/>
      <c r="S2480" s="573"/>
      <c r="T2480" s="573"/>
      <c r="U2480" s="573"/>
      <c r="V2480" s="573"/>
      <c r="W2480" s="573"/>
      <c r="X2480" s="573"/>
      <c r="Y2480" s="573"/>
      <c r="Z2480" s="573"/>
    </row>
    <row r="2481" spans="1:26" ht="18.75">
      <c r="A2481" s="677"/>
      <c r="B2481" s="677"/>
      <c r="C2481" s="677"/>
      <c r="D2481" s="896"/>
      <c r="E2481" s="677"/>
      <c r="F2481" s="677"/>
      <c r="G2481" s="677"/>
      <c r="H2481" s="897"/>
      <c r="I2481" s="898"/>
      <c r="J2481" s="898"/>
      <c r="K2481" s="899"/>
      <c r="L2481" s="899"/>
      <c r="M2481" s="899"/>
      <c r="N2481" s="899"/>
      <c r="O2481" s="899"/>
      <c r="P2481" s="899"/>
      <c r="Q2481" s="573"/>
      <c r="R2481" s="573"/>
      <c r="S2481" s="573"/>
      <c r="T2481" s="573"/>
      <c r="U2481" s="573"/>
      <c r="V2481" s="573"/>
      <c r="W2481" s="573"/>
      <c r="X2481" s="573"/>
      <c r="Y2481" s="573"/>
      <c r="Z2481" s="573"/>
    </row>
    <row r="2482" spans="1:26" ht="18.75">
      <c r="A2482" s="677"/>
      <c r="B2482" s="677"/>
      <c r="C2482" s="677"/>
      <c r="D2482" s="896"/>
      <c r="E2482" s="677"/>
      <c r="F2482" s="677"/>
      <c r="G2482" s="677"/>
      <c r="H2482" s="897"/>
      <c r="I2482" s="898"/>
      <c r="J2482" s="898"/>
      <c r="K2482" s="899"/>
      <c r="L2482" s="899"/>
      <c r="M2482" s="899"/>
      <c r="N2482" s="899"/>
      <c r="O2482" s="899"/>
      <c r="P2482" s="899"/>
      <c r="Q2482" s="573"/>
      <c r="R2482" s="573"/>
      <c r="S2482" s="573"/>
      <c r="T2482" s="573"/>
      <c r="U2482" s="573"/>
      <c r="V2482" s="573"/>
      <c r="W2482" s="573"/>
      <c r="X2482" s="573"/>
      <c r="Y2482" s="573"/>
      <c r="Z2482" s="573"/>
    </row>
    <row r="2483" spans="1:26" ht="18.75">
      <c r="A2483" s="677"/>
      <c r="B2483" s="677"/>
      <c r="C2483" s="677"/>
      <c r="D2483" s="896"/>
      <c r="E2483" s="677"/>
      <c r="F2483" s="677"/>
      <c r="G2483" s="677"/>
      <c r="H2483" s="897"/>
      <c r="I2483" s="898"/>
      <c r="J2483" s="898"/>
      <c r="K2483" s="899"/>
      <c r="L2483" s="899"/>
      <c r="M2483" s="899"/>
      <c r="N2483" s="899"/>
      <c r="O2483" s="899"/>
      <c r="P2483" s="899"/>
      <c r="Q2483" s="573"/>
      <c r="R2483" s="573"/>
      <c r="S2483" s="573"/>
      <c r="T2483" s="573"/>
      <c r="U2483" s="573"/>
      <c r="V2483" s="573"/>
      <c r="W2483" s="573"/>
      <c r="X2483" s="573"/>
      <c r="Y2483" s="573"/>
      <c r="Z2483" s="573"/>
    </row>
    <row r="2484" spans="1:26" ht="18.75">
      <c r="A2484" s="677"/>
      <c r="B2484" s="677"/>
      <c r="C2484" s="677"/>
      <c r="D2484" s="896"/>
      <c r="E2484" s="677"/>
      <c r="F2484" s="677"/>
      <c r="G2484" s="677"/>
      <c r="H2484" s="897"/>
      <c r="I2484" s="898"/>
      <c r="J2484" s="898"/>
      <c r="K2484" s="899"/>
      <c r="L2484" s="899"/>
      <c r="M2484" s="899"/>
      <c r="N2484" s="899"/>
      <c r="O2484" s="899"/>
      <c r="P2484" s="899"/>
      <c r="Q2484" s="573"/>
      <c r="R2484" s="573"/>
      <c r="S2484" s="573"/>
      <c r="T2484" s="573"/>
      <c r="U2484" s="573"/>
      <c r="V2484" s="573"/>
      <c r="W2484" s="573"/>
      <c r="X2484" s="573"/>
      <c r="Y2484" s="573"/>
      <c r="Z2484" s="573"/>
    </row>
    <row r="2485" spans="1:26" ht="18.75">
      <c r="A2485" s="677"/>
      <c r="B2485" s="677"/>
      <c r="C2485" s="677"/>
      <c r="D2485" s="896"/>
      <c r="E2485" s="677"/>
      <c r="F2485" s="677"/>
      <c r="G2485" s="677"/>
      <c r="H2485" s="897"/>
      <c r="I2485" s="898"/>
      <c r="J2485" s="898"/>
      <c r="K2485" s="899"/>
      <c r="L2485" s="899"/>
      <c r="M2485" s="899"/>
      <c r="N2485" s="899"/>
      <c r="O2485" s="899"/>
      <c r="P2485" s="899"/>
      <c r="Q2485" s="573"/>
      <c r="R2485" s="573"/>
      <c r="S2485" s="573"/>
      <c r="T2485" s="573"/>
      <c r="U2485" s="573"/>
      <c r="V2485" s="573"/>
      <c r="W2485" s="573"/>
      <c r="X2485" s="573"/>
      <c r="Y2485" s="573"/>
      <c r="Z2485" s="573"/>
    </row>
    <row r="2486" spans="1:26" ht="18.75">
      <c r="A2486" s="677"/>
      <c r="B2486" s="677"/>
      <c r="C2486" s="677"/>
      <c r="D2486" s="896"/>
      <c r="E2486" s="677"/>
      <c r="F2486" s="677"/>
      <c r="G2486" s="677"/>
      <c r="H2486" s="897"/>
      <c r="I2486" s="898"/>
      <c r="J2486" s="898"/>
      <c r="K2486" s="899"/>
      <c r="L2486" s="899"/>
      <c r="M2486" s="899"/>
      <c r="N2486" s="899"/>
      <c r="O2486" s="899"/>
      <c r="P2486" s="899"/>
      <c r="Q2486" s="573"/>
      <c r="R2486" s="573"/>
      <c r="S2486" s="573"/>
      <c r="T2486" s="573"/>
      <c r="U2486" s="573"/>
      <c r="V2486" s="573"/>
      <c r="W2486" s="573"/>
      <c r="X2486" s="573"/>
      <c r="Y2486" s="573"/>
      <c r="Z2486" s="573"/>
    </row>
    <row r="2487" spans="1:26" ht="18.75">
      <c r="A2487" s="677"/>
      <c r="B2487" s="677"/>
      <c r="C2487" s="677"/>
      <c r="D2487" s="896"/>
      <c r="E2487" s="677"/>
      <c r="F2487" s="677"/>
      <c r="G2487" s="677"/>
      <c r="H2487" s="897"/>
      <c r="I2487" s="898"/>
      <c r="J2487" s="898"/>
      <c r="K2487" s="899"/>
      <c r="L2487" s="899"/>
      <c r="M2487" s="899"/>
      <c r="N2487" s="899"/>
      <c r="O2487" s="899"/>
      <c r="P2487" s="899"/>
      <c r="Q2487" s="573"/>
      <c r="R2487" s="573"/>
      <c r="S2487" s="573"/>
      <c r="T2487" s="573"/>
      <c r="U2487" s="573"/>
      <c r="V2487" s="573"/>
      <c r="W2487" s="573"/>
      <c r="X2487" s="573"/>
      <c r="Y2487" s="573"/>
      <c r="Z2487" s="573"/>
    </row>
    <row r="2488" spans="1:26" ht="18.75">
      <c r="A2488" s="677"/>
      <c r="B2488" s="677"/>
      <c r="C2488" s="677"/>
      <c r="D2488" s="896"/>
      <c r="E2488" s="677"/>
      <c r="F2488" s="677"/>
      <c r="G2488" s="677"/>
      <c r="H2488" s="897"/>
      <c r="I2488" s="898"/>
      <c r="J2488" s="898"/>
      <c r="K2488" s="899"/>
      <c r="L2488" s="899"/>
      <c r="M2488" s="899"/>
      <c r="N2488" s="899"/>
      <c r="O2488" s="899"/>
      <c r="P2488" s="899"/>
      <c r="Q2488" s="573"/>
      <c r="R2488" s="573"/>
      <c r="S2488" s="573"/>
      <c r="T2488" s="573"/>
      <c r="U2488" s="573"/>
      <c r="V2488" s="573"/>
      <c r="W2488" s="573"/>
      <c r="X2488" s="573"/>
      <c r="Y2488" s="573"/>
      <c r="Z2488" s="573"/>
    </row>
    <row r="2489" spans="1:26" ht="18.75">
      <c r="A2489" s="677"/>
      <c r="B2489" s="677"/>
      <c r="C2489" s="677"/>
      <c r="D2489" s="896"/>
      <c r="E2489" s="677"/>
      <c r="F2489" s="677"/>
      <c r="G2489" s="677"/>
      <c r="H2489" s="897"/>
      <c r="I2489" s="898"/>
      <c r="J2489" s="898"/>
      <c r="K2489" s="899"/>
      <c r="L2489" s="899"/>
      <c r="M2489" s="899"/>
      <c r="N2489" s="899"/>
      <c r="O2489" s="899"/>
      <c r="P2489" s="899"/>
      <c r="Q2489" s="573"/>
      <c r="R2489" s="573"/>
      <c r="S2489" s="573"/>
      <c r="T2489" s="573"/>
      <c r="U2489" s="573"/>
      <c r="V2489" s="573"/>
      <c r="W2489" s="573"/>
      <c r="X2489" s="573"/>
      <c r="Y2489" s="573"/>
      <c r="Z2489" s="573"/>
    </row>
    <row r="2490" spans="1:26" ht="18.75">
      <c r="A2490" s="677"/>
      <c r="B2490" s="677"/>
      <c r="C2490" s="677"/>
      <c r="D2490" s="896"/>
      <c r="E2490" s="677"/>
      <c r="F2490" s="677"/>
      <c r="G2490" s="677"/>
      <c r="H2490" s="897"/>
      <c r="I2490" s="898"/>
      <c r="J2490" s="898"/>
      <c r="K2490" s="899"/>
      <c r="L2490" s="899"/>
      <c r="M2490" s="899"/>
      <c r="N2490" s="899"/>
      <c r="O2490" s="899"/>
      <c r="P2490" s="899"/>
      <c r="Q2490" s="573"/>
      <c r="R2490" s="573"/>
      <c r="S2490" s="573"/>
      <c r="T2490" s="573"/>
      <c r="U2490" s="573"/>
      <c r="V2490" s="573"/>
      <c r="W2490" s="573"/>
      <c r="X2490" s="573"/>
      <c r="Y2490" s="573"/>
      <c r="Z2490" s="573"/>
    </row>
    <row r="2491" spans="1:26" ht="18.75">
      <c r="A2491" s="677"/>
      <c r="B2491" s="677"/>
      <c r="C2491" s="677"/>
      <c r="D2491" s="896"/>
      <c r="E2491" s="677"/>
      <c r="F2491" s="677"/>
      <c r="G2491" s="677"/>
      <c r="H2491" s="897"/>
      <c r="I2491" s="898"/>
      <c r="J2491" s="898"/>
      <c r="K2491" s="899"/>
      <c r="L2491" s="899"/>
      <c r="M2491" s="899"/>
      <c r="N2491" s="899"/>
      <c r="O2491" s="899"/>
      <c r="P2491" s="899"/>
      <c r="Q2491" s="573"/>
      <c r="R2491" s="573"/>
      <c r="S2491" s="573"/>
      <c r="T2491" s="573"/>
      <c r="U2491" s="573"/>
      <c r="V2491" s="573"/>
      <c r="W2491" s="573"/>
      <c r="X2491" s="573"/>
      <c r="Y2491" s="573"/>
      <c r="Z2491" s="573"/>
    </row>
    <row r="2492" spans="1:26" ht="18.75">
      <c r="A2492" s="677"/>
      <c r="B2492" s="677"/>
      <c r="C2492" s="677"/>
      <c r="D2492" s="896"/>
      <c r="E2492" s="677"/>
      <c r="F2492" s="677"/>
      <c r="G2492" s="677"/>
      <c r="H2492" s="897"/>
      <c r="I2492" s="898"/>
      <c r="J2492" s="898"/>
      <c r="K2492" s="899"/>
      <c r="L2492" s="899"/>
      <c r="M2492" s="899"/>
      <c r="N2492" s="899"/>
      <c r="O2492" s="899"/>
      <c r="P2492" s="899"/>
      <c r="Q2492" s="573"/>
      <c r="R2492" s="573"/>
      <c r="S2492" s="573"/>
      <c r="T2492" s="573"/>
      <c r="U2492" s="573"/>
      <c r="V2492" s="573"/>
      <c r="W2492" s="573"/>
      <c r="X2492" s="573"/>
      <c r="Y2492" s="573"/>
      <c r="Z2492" s="573"/>
    </row>
    <row r="2493" spans="1:26" ht="18.75">
      <c r="A2493" s="677"/>
      <c r="B2493" s="677"/>
      <c r="C2493" s="677"/>
      <c r="D2493" s="896"/>
      <c r="E2493" s="677"/>
      <c r="F2493" s="677"/>
      <c r="G2493" s="677"/>
      <c r="H2493" s="897"/>
      <c r="I2493" s="898"/>
      <c r="J2493" s="898"/>
      <c r="K2493" s="899"/>
      <c r="L2493" s="899"/>
      <c r="M2493" s="899"/>
      <c r="N2493" s="899"/>
      <c r="O2493" s="899"/>
      <c r="P2493" s="899"/>
      <c r="Q2493" s="573"/>
      <c r="R2493" s="573"/>
      <c r="S2493" s="573"/>
      <c r="T2493" s="573"/>
      <c r="U2493" s="573"/>
      <c r="V2493" s="573"/>
      <c r="W2493" s="573"/>
      <c r="X2493" s="573"/>
      <c r="Y2493" s="573"/>
      <c r="Z2493" s="573"/>
    </row>
    <row r="2494" spans="1:26" ht="18.75">
      <c r="A2494" s="677"/>
      <c r="B2494" s="677"/>
      <c r="C2494" s="677"/>
      <c r="D2494" s="896"/>
      <c r="E2494" s="677"/>
      <c r="F2494" s="677"/>
      <c r="G2494" s="677"/>
      <c r="H2494" s="897"/>
      <c r="I2494" s="898"/>
      <c r="J2494" s="898"/>
      <c r="K2494" s="899"/>
      <c r="L2494" s="899"/>
      <c r="M2494" s="899"/>
      <c r="N2494" s="899"/>
      <c r="O2494" s="899"/>
      <c r="P2494" s="899"/>
      <c r="Q2494" s="573"/>
      <c r="R2494" s="573"/>
      <c r="S2494" s="573"/>
      <c r="T2494" s="573"/>
      <c r="U2494" s="573"/>
      <c r="V2494" s="573"/>
      <c r="W2494" s="573"/>
      <c r="X2494" s="573"/>
      <c r="Y2494" s="573"/>
      <c r="Z2494" s="573"/>
    </row>
    <row r="2495" spans="1:26" ht="18.75">
      <c r="A2495" s="677"/>
      <c r="B2495" s="677"/>
      <c r="C2495" s="677"/>
      <c r="D2495" s="896"/>
      <c r="E2495" s="677"/>
      <c r="F2495" s="677"/>
      <c r="G2495" s="677"/>
      <c r="H2495" s="897"/>
      <c r="I2495" s="898"/>
      <c r="J2495" s="898"/>
      <c r="K2495" s="899"/>
      <c r="L2495" s="899"/>
      <c r="M2495" s="899"/>
      <c r="N2495" s="899"/>
      <c r="O2495" s="899"/>
      <c r="P2495" s="899"/>
      <c r="Q2495" s="573"/>
      <c r="R2495" s="573"/>
      <c r="S2495" s="573"/>
      <c r="T2495" s="573"/>
      <c r="U2495" s="573"/>
      <c r="V2495" s="573"/>
      <c r="W2495" s="573"/>
      <c r="X2495" s="573"/>
      <c r="Y2495" s="573"/>
      <c r="Z2495" s="573"/>
    </row>
    <row r="2496" spans="1:26" ht="18.75">
      <c r="A2496" s="677"/>
      <c r="B2496" s="677"/>
      <c r="C2496" s="677"/>
      <c r="D2496" s="896"/>
      <c r="E2496" s="677"/>
      <c r="F2496" s="677"/>
      <c r="G2496" s="677"/>
      <c r="H2496" s="897"/>
      <c r="I2496" s="898"/>
      <c r="J2496" s="898"/>
      <c r="K2496" s="899"/>
      <c r="L2496" s="899"/>
      <c r="M2496" s="899"/>
      <c r="N2496" s="899"/>
      <c r="O2496" s="899"/>
      <c r="P2496" s="899"/>
      <c r="Q2496" s="573"/>
      <c r="R2496" s="573"/>
      <c r="S2496" s="573"/>
      <c r="T2496" s="573"/>
      <c r="U2496" s="573"/>
      <c r="V2496" s="573"/>
      <c r="W2496" s="573"/>
      <c r="X2496" s="573"/>
      <c r="Y2496" s="573"/>
      <c r="Z2496" s="573"/>
    </row>
    <row r="2497" spans="1:26" ht="18.75">
      <c r="A2497" s="677"/>
      <c r="B2497" s="677"/>
      <c r="C2497" s="677"/>
      <c r="D2497" s="896"/>
      <c r="E2497" s="677"/>
      <c r="F2497" s="677"/>
      <c r="G2497" s="677"/>
      <c r="H2497" s="897"/>
      <c r="I2497" s="898"/>
      <c r="J2497" s="898"/>
      <c r="K2497" s="899"/>
      <c r="L2497" s="899"/>
      <c r="M2497" s="899"/>
      <c r="N2497" s="899"/>
      <c r="O2497" s="899"/>
      <c r="P2497" s="899"/>
      <c r="Q2497" s="573"/>
      <c r="R2497" s="573"/>
      <c r="S2497" s="573"/>
      <c r="T2497" s="573"/>
      <c r="U2497" s="573"/>
      <c r="V2497" s="573"/>
      <c r="W2497" s="573"/>
      <c r="X2497" s="573"/>
      <c r="Y2497" s="573"/>
      <c r="Z2497" s="573"/>
    </row>
    <row r="2498" spans="1:26" ht="18.75">
      <c r="A2498" s="677"/>
      <c r="B2498" s="677"/>
      <c r="C2498" s="677"/>
      <c r="D2498" s="896"/>
      <c r="E2498" s="677"/>
      <c r="F2498" s="677"/>
      <c r="G2498" s="677"/>
      <c r="H2498" s="897"/>
      <c r="I2498" s="898"/>
      <c r="J2498" s="898"/>
      <c r="K2498" s="899"/>
      <c r="L2498" s="899"/>
      <c r="M2498" s="899"/>
      <c r="N2498" s="899"/>
      <c r="O2498" s="899"/>
      <c r="P2498" s="899"/>
      <c r="Q2498" s="573"/>
      <c r="R2498" s="573"/>
      <c r="S2498" s="573"/>
      <c r="T2498" s="573"/>
      <c r="U2498" s="573"/>
      <c r="V2498" s="573"/>
      <c r="W2498" s="573"/>
      <c r="X2498" s="573"/>
      <c r="Y2498" s="573"/>
      <c r="Z2498" s="573"/>
    </row>
    <row r="2499" spans="1:26" ht="18.75">
      <c r="A2499" s="677"/>
      <c r="B2499" s="677"/>
      <c r="C2499" s="677"/>
      <c r="D2499" s="896"/>
      <c r="E2499" s="677"/>
      <c r="F2499" s="677"/>
      <c r="G2499" s="677"/>
      <c r="H2499" s="897"/>
      <c r="I2499" s="898"/>
      <c r="J2499" s="898"/>
      <c r="K2499" s="899"/>
      <c r="L2499" s="899"/>
      <c r="M2499" s="899"/>
      <c r="N2499" s="899"/>
      <c r="O2499" s="899"/>
      <c r="P2499" s="899"/>
      <c r="Q2499" s="573"/>
      <c r="R2499" s="573"/>
      <c r="S2499" s="573"/>
      <c r="T2499" s="573"/>
      <c r="U2499" s="573"/>
      <c r="V2499" s="573"/>
      <c r="W2499" s="573"/>
      <c r="X2499" s="573"/>
      <c r="Y2499" s="573"/>
      <c r="Z2499" s="573"/>
    </row>
    <row r="2500" spans="1:26" ht="18.75">
      <c r="A2500" s="677"/>
      <c r="B2500" s="677"/>
      <c r="C2500" s="677"/>
      <c r="D2500" s="896"/>
      <c r="E2500" s="677"/>
      <c r="F2500" s="677"/>
      <c r="G2500" s="677"/>
      <c r="H2500" s="897"/>
      <c r="I2500" s="898"/>
      <c r="J2500" s="898"/>
      <c r="K2500" s="899"/>
      <c r="L2500" s="899"/>
      <c r="M2500" s="899"/>
      <c r="N2500" s="899"/>
      <c r="O2500" s="899"/>
      <c r="P2500" s="899"/>
      <c r="Q2500" s="573"/>
      <c r="R2500" s="573"/>
      <c r="S2500" s="573"/>
      <c r="T2500" s="573"/>
      <c r="U2500" s="573"/>
      <c r="V2500" s="573"/>
      <c r="W2500" s="573"/>
      <c r="X2500" s="573"/>
      <c r="Y2500" s="573"/>
      <c r="Z2500" s="573"/>
    </row>
    <row r="2501" spans="1:26" ht="18.75">
      <c r="A2501" s="677"/>
      <c r="B2501" s="677"/>
      <c r="C2501" s="677"/>
      <c r="D2501" s="896"/>
      <c r="E2501" s="677"/>
      <c r="F2501" s="677"/>
      <c r="G2501" s="677"/>
      <c r="H2501" s="897"/>
      <c r="I2501" s="898"/>
      <c r="J2501" s="898"/>
      <c r="K2501" s="899"/>
      <c r="L2501" s="899"/>
      <c r="M2501" s="899"/>
      <c r="N2501" s="899"/>
      <c r="O2501" s="899"/>
      <c r="P2501" s="899"/>
      <c r="Q2501" s="573"/>
      <c r="R2501" s="573"/>
      <c r="S2501" s="573"/>
      <c r="T2501" s="573"/>
      <c r="U2501" s="573"/>
      <c r="V2501" s="573"/>
      <c r="W2501" s="573"/>
      <c r="X2501" s="573"/>
      <c r="Y2501" s="573"/>
      <c r="Z2501" s="573"/>
    </row>
    <row r="2502" spans="1:26" ht="18.75">
      <c r="A2502" s="677"/>
      <c r="B2502" s="677"/>
      <c r="C2502" s="677"/>
      <c r="D2502" s="896"/>
      <c r="E2502" s="677"/>
      <c r="F2502" s="677"/>
      <c r="G2502" s="677"/>
      <c r="H2502" s="897"/>
      <c r="I2502" s="898"/>
      <c r="J2502" s="898"/>
      <c r="K2502" s="899"/>
      <c r="L2502" s="899"/>
      <c r="M2502" s="899"/>
      <c r="N2502" s="899"/>
      <c r="O2502" s="899"/>
      <c r="P2502" s="899"/>
      <c r="Q2502" s="573"/>
      <c r="R2502" s="573"/>
      <c r="S2502" s="573"/>
      <c r="T2502" s="573"/>
      <c r="U2502" s="573"/>
      <c r="V2502" s="573"/>
      <c r="W2502" s="573"/>
      <c r="X2502" s="573"/>
      <c r="Y2502" s="573"/>
      <c r="Z2502" s="573"/>
    </row>
    <row r="2503" spans="1:26" ht="18.75">
      <c r="A2503" s="677"/>
      <c r="B2503" s="677"/>
      <c r="C2503" s="677"/>
      <c r="D2503" s="896"/>
      <c r="E2503" s="677"/>
      <c r="F2503" s="677"/>
      <c r="G2503" s="677"/>
      <c r="H2503" s="897"/>
      <c r="I2503" s="898"/>
      <c r="J2503" s="898"/>
      <c r="K2503" s="899"/>
      <c r="L2503" s="899"/>
      <c r="M2503" s="899"/>
      <c r="N2503" s="899"/>
      <c r="O2503" s="899"/>
      <c r="P2503" s="899"/>
      <c r="Q2503" s="573"/>
      <c r="R2503" s="573"/>
      <c r="S2503" s="573"/>
      <c r="T2503" s="573"/>
      <c r="U2503" s="573"/>
      <c r="V2503" s="573"/>
      <c r="W2503" s="573"/>
      <c r="X2503" s="573"/>
      <c r="Y2503" s="573"/>
      <c r="Z2503" s="573"/>
    </row>
    <row r="2504" spans="1:26" ht="18.75">
      <c r="A2504" s="677"/>
      <c r="B2504" s="677"/>
      <c r="C2504" s="677"/>
      <c r="D2504" s="896"/>
      <c r="E2504" s="677"/>
      <c r="F2504" s="677"/>
      <c r="G2504" s="677"/>
      <c r="H2504" s="897"/>
      <c r="I2504" s="898"/>
      <c r="J2504" s="898"/>
      <c r="K2504" s="899"/>
      <c r="L2504" s="899"/>
      <c r="M2504" s="899"/>
      <c r="N2504" s="899"/>
      <c r="O2504" s="899"/>
      <c r="P2504" s="899"/>
      <c r="Q2504" s="573"/>
      <c r="R2504" s="573"/>
      <c r="S2504" s="573"/>
      <c r="T2504" s="573"/>
      <c r="U2504" s="573"/>
      <c r="V2504" s="573"/>
      <c r="W2504" s="573"/>
      <c r="X2504" s="573"/>
      <c r="Y2504" s="573"/>
      <c r="Z2504" s="573"/>
    </row>
    <row r="2505" spans="1:26" ht="18.75">
      <c r="A2505" s="677"/>
      <c r="B2505" s="677"/>
      <c r="C2505" s="677"/>
      <c r="D2505" s="896"/>
      <c r="E2505" s="677"/>
      <c r="F2505" s="677"/>
      <c r="G2505" s="677"/>
      <c r="H2505" s="897"/>
      <c r="I2505" s="898"/>
      <c r="J2505" s="898"/>
      <c r="K2505" s="899"/>
      <c r="L2505" s="899"/>
      <c r="M2505" s="899"/>
      <c r="N2505" s="899"/>
      <c r="O2505" s="899"/>
      <c r="P2505" s="899"/>
      <c r="Q2505" s="573"/>
      <c r="R2505" s="573"/>
      <c r="S2505" s="573"/>
      <c r="T2505" s="573"/>
      <c r="U2505" s="573"/>
      <c r="V2505" s="573"/>
      <c r="W2505" s="573"/>
      <c r="X2505" s="573"/>
      <c r="Y2505" s="573"/>
      <c r="Z2505" s="573"/>
    </row>
    <row r="2506" spans="1:26" ht="18.75">
      <c r="A2506" s="677"/>
      <c r="B2506" s="677"/>
      <c r="C2506" s="677"/>
      <c r="D2506" s="896"/>
      <c r="E2506" s="677"/>
      <c r="F2506" s="677"/>
      <c r="G2506" s="677"/>
      <c r="H2506" s="897"/>
      <c r="I2506" s="898"/>
      <c r="J2506" s="898"/>
      <c r="K2506" s="899"/>
      <c r="L2506" s="899"/>
      <c r="M2506" s="899"/>
      <c r="N2506" s="899"/>
      <c r="O2506" s="899"/>
      <c r="P2506" s="899"/>
      <c r="Q2506" s="573"/>
      <c r="R2506" s="573"/>
      <c r="S2506" s="573"/>
      <c r="T2506" s="573"/>
      <c r="U2506" s="573"/>
      <c r="V2506" s="573"/>
      <c r="W2506" s="573"/>
      <c r="X2506" s="573"/>
      <c r="Y2506" s="573"/>
      <c r="Z2506" s="573"/>
    </row>
    <row r="2507" spans="1:26" ht="18.75">
      <c r="A2507" s="677"/>
      <c r="B2507" s="677"/>
      <c r="C2507" s="677"/>
      <c r="D2507" s="896"/>
      <c r="E2507" s="677"/>
      <c r="F2507" s="677"/>
      <c r="G2507" s="677"/>
      <c r="H2507" s="897"/>
      <c r="I2507" s="898"/>
      <c r="J2507" s="898"/>
      <c r="K2507" s="899"/>
      <c r="L2507" s="899"/>
      <c r="M2507" s="899"/>
      <c r="N2507" s="899"/>
      <c r="O2507" s="899"/>
      <c r="P2507" s="899"/>
      <c r="Q2507" s="573"/>
      <c r="R2507" s="573"/>
      <c r="S2507" s="573"/>
      <c r="T2507" s="573"/>
      <c r="U2507" s="573"/>
      <c r="V2507" s="573"/>
      <c r="W2507" s="573"/>
      <c r="X2507" s="573"/>
      <c r="Y2507" s="573"/>
      <c r="Z2507" s="573"/>
    </row>
    <row r="2508" spans="1:26" ht="18.75">
      <c r="A2508" s="677"/>
      <c r="B2508" s="677"/>
      <c r="C2508" s="677"/>
      <c r="D2508" s="896"/>
      <c r="E2508" s="677"/>
      <c r="F2508" s="677"/>
      <c r="G2508" s="677"/>
      <c r="H2508" s="897"/>
      <c r="I2508" s="898"/>
      <c r="J2508" s="898"/>
      <c r="K2508" s="899"/>
      <c r="L2508" s="899"/>
      <c r="M2508" s="899"/>
      <c r="N2508" s="899"/>
      <c r="O2508" s="899"/>
      <c r="P2508" s="899"/>
      <c r="Q2508" s="573"/>
      <c r="R2508" s="573"/>
      <c r="S2508" s="573"/>
      <c r="T2508" s="573"/>
      <c r="U2508" s="573"/>
      <c r="V2508" s="573"/>
      <c r="W2508" s="573"/>
      <c r="X2508" s="573"/>
      <c r="Y2508" s="573"/>
      <c r="Z2508" s="573"/>
    </row>
    <row r="2509" spans="1:26" ht="18.75">
      <c r="A2509" s="677"/>
      <c r="B2509" s="677"/>
      <c r="C2509" s="677"/>
      <c r="D2509" s="896"/>
      <c r="E2509" s="677"/>
      <c r="F2509" s="677"/>
      <c r="G2509" s="677"/>
      <c r="H2509" s="897"/>
      <c r="I2509" s="898"/>
      <c r="J2509" s="898"/>
      <c r="K2509" s="899"/>
      <c r="L2509" s="899"/>
      <c r="M2509" s="899"/>
      <c r="N2509" s="899"/>
      <c r="O2509" s="899"/>
      <c r="P2509" s="899"/>
      <c r="Q2509" s="573"/>
      <c r="R2509" s="573"/>
      <c r="S2509" s="573"/>
      <c r="T2509" s="573"/>
      <c r="U2509" s="573"/>
      <c r="V2509" s="573"/>
      <c r="W2509" s="573"/>
      <c r="X2509" s="573"/>
      <c r="Y2509" s="573"/>
      <c r="Z2509" s="573"/>
    </row>
    <row r="2510" spans="1:26" ht="18.75">
      <c r="A2510" s="677"/>
      <c r="B2510" s="677"/>
      <c r="C2510" s="677"/>
      <c r="D2510" s="896"/>
      <c r="E2510" s="677"/>
      <c r="F2510" s="677"/>
      <c r="G2510" s="677"/>
      <c r="H2510" s="897"/>
      <c r="I2510" s="898"/>
      <c r="J2510" s="898"/>
      <c r="K2510" s="899"/>
      <c r="L2510" s="899"/>
      <c r="M2510" s="899"/>
      <c r="N2510" s="899"/>
      <c r="O2510" s="899"/>
      <c r="P2510" s="899"/>
      <c r="Q2510" s="573"/>
      <c r="R2510" s="573"/>
      <c r="S2510" s="573"/>
      <c r="T2510" s="573"/>
      <c r="U2510" s="573"/>
      <c r="V2510" s="573"/>
      <c r="W2510" s="573"/>
      <c r="X2510" s="573"/>
      <c r="Y2510" s="573"/>
      <c r="Z2510" s="573"/>
    </row>
    <row r="2511" spans="1:26" ht="18.75">
      <c r="A2511" s="677"/>
      <c r="B2511" s="677"/>
      <c r="C2511" s="677"/>
      <c r="D2511" s="896"/>
      <c r="E2511" s="677"/>
      <c r="F2511" s="677"/>
      <c r="G2511" s="677"/>
      <c r="H2511" s="897"/>
      <c r="I2511" s="898"/>
      <c r="J2511" s="898"/>
      <c r="K2511" s="899"/>
      <c r="L2511" s="899"/>
      <c r="M2511" s="899"/>
      <c r="N2511" s="899"/>
      <c r="O2511" s="899"/>
      <c r="P2511" s="899"/>
      <c r="Q2511" s="573"/>
      <c r="R2511" s="573"/>
      <c r="S2511" s="573"/>
      <c r="T2511" s="573"/>
      <c r="U2511" s="573"/>
      <c r="V2511" s="573"/>
      <c r="W2511" s="573"/>
      <c r="X2511" s="573"/>
      <c r="Y2511" s="573"/>
      <c r="Z2511" s="573"/>
    </row>
    <row r="2512" spans="1:26" ht="18.75">
      <c r="A2512" s="677"/>
      <c r="B2512" s="677"/>
      <c r="C2512" s="677"/>
      <c r="D2512" s="896"/>
      <c r="E2512" s="677"/>
      <c r="F2512" s="677"/>
      <c r="G2512" s="677"/>
      <c r="H2512" s="897"/>
      <c r="I2512" s="898"/>
      <c r="J2512" s="898"/>
      <c r="K2512" s="899"/>
      <c r="L2512" s="899"/>
      <c r="M2512" s="899"/>
      <c r="N2512" s="899"/>
      <c r="O2512" s="899"/>
      <c r="P2512" s="899"/>
      <c r="Q2512" s="573"/>
      <c r="R2512" s="573"/>
      <c r="S2512" s="573"/>
      <c r="T2512" s="573"/>
      <c r="U2512" s="573"/>
      <c r="V2512" s="573"/>
      <c r="W2512" s="573"/>
      <c r="X2512" s="573"/>
      <c r="Y2512" s="573"/>
      <c r="Z2512" s="573"/>
    </row>
    <row r="2513" spans="1:26" ht="18.75">
      <c r="A2513" s="677"/>
      <c r="B2513" s="677"/>
      <c r="C2513" s="677"/>
      <c r="D2513" s="896"/>
      <c r="E2513" s="677"/>
      <c r="F2513" s="677"/>
      <c r="G2513" s="677"/>
      <c r="H2513" s="897"/>
      <c r="I2513" s="898"/>
      <c r="J2513" s="898"/>
      <c r="K2513" s="899"/>
      <c r="L2513" s="899"/>
      <c r="M2513" s="899"/>
      <c r="N2513" s="899"/>
      <c r="O2513" s="899"/>
      <c r="P2513" s="899"/>
      <c r="Q2513" s="573"/>
      <c r="R2513" s="573"/>
      <c r="S2513" s="573"/>
      <c r="T2513" s="573"/>
      <c r="U2513" s="573"/>
      <c r="V2513" s="573"/>
      <c r="W2513" s="573"/>
      <c r="X2513" s="573"/>
      <c r="Y2513" s="573"/>
      <c r="Z2513" s="573"/>
    </row>
    <row r="2514" spans="1:26" ht="18.75">
      <c r="A2514" s="677"/>
      <c r="B2514" s="677"/>
      <c r="C2514" s="677"/>
      <c r="D2514" s="896"/>
      <c r="E2514" s="677"/>
      <c r="F2514" s="677"/>
      <c r="G2514" s="677"/>
      <c r="H2514" s="897"/>
      <c r="I2514" s="898"/>
      <c r="J2514" s="898"/>
      <c r="K2514" s="899"/>
      <c r="L2514" s="899"/>
      <c r="M2514" s="899"/>
      <c r="N2514" s="899"/>
      <c r="O2514" s="899"/>
      <c r="P2514" s="899"/>
      <c r="Q2514" s="573"/>
      <c r="R2514" s="573"/>
      <c r="S2514" s="573"/>
      <c r="T2514" s="573"/>
      <c r="U2514" s="573"/>
      <c r="V2514" s="573"/>
      <c r="W2514" s="573"/>
      <c r="X2514" s="573"/>
      <c r="Y2514" s="573"/>
      <c r="Z2514" s="573"/>
    </row>
    <row r="2515" spans="1:26" ht="18.75">
      <c r="A2515" s="677"/>
      <c r="B2515" s="677"/>
      <c r="C2515" s="677"/>
      <c r="D2515" s="896"/>
      <c r="E2515" s="677"/>
      <c r="F2515" s="677"/>
      <c r="G2515" s="677"/>
      <c r="H2515" s="897"/>
      <c r="I2515" s="898"/>
      <c r="J2515" s="898"/>
      <c r="K2515" s="899"/>
      <c r="L2515" s="899"/>
      <c r="M2515" s="899"/>
      <c r="N2515" s="899"/>
      <c r="O2515" s="899"/>
      <c r="P2515" s="899"/>
      <c r="Q2515" s="573"/>
      <c r="R2515" s="573"/>
      <c r="S2515" s="573"/>
      <c r="T2515" s="573"/>
      <c r="U2515" s="573"/>
      <c r="V2515" s="573"/>
      <c r="W2515" s="573"/>
      <c r="X2515" s="573"/>
      <c r="Y2515" s="573"/>
      <c r="Z2515" s="573"/>
    </row>
    <row r="2516" spans="1:26" ht="18.75">
      <c r="A2516" s="677"/>
      <c r="B2516" s="677"/>
      <c r="C2516" s="677"/>
      <c r="D2516" s="896"/>
      <c r="E2516" s="677"/>
      <c r="F2516" s="677"/>
      <c r="G2516" s="677"/>
      <c r="H2516" s="897"/>
      <c r="I2516" s="898"/>
      <c r="J2516" s="898"/>
      <c r="K2516" s="899"/>
      <c r="L2516" s="899"/>
      <c r="M2516" s="899"/>
      <c r="N2516" s="899"/>
      <c r="O2516" s="899"/>
      <c r="P2516" s="899"/>
      <c r="Q2516" s="573"/>
      <c r="R2516" s="573"/>
      <c r="S2516" s="573"/>
      <c r="T2516" s="573"/>
      <c r="U2516" s="573"/>
      <c r="V2516" s="573"/>
      <c r="W2516" s="573"/>
      <c r="X2516" s="573"/>
      <c r="Y2516" s="573"/>
      <c r="Z2516" s="573"/>
    </row>
    <row r="2517" spans="1:26" ht="18.75">
      <c r="A2517" s="677"/>
      <c r="B2517" s="677"/>
      <c r="C2517" s="677"/>
      <c r="D2517" s="896"/>
      <c r="E2517" s="677"/>
      <c r="F2517" s="677"/>
      <c r="G2517" s="677"/>
      <c r="H2517" s="897"/>
      <c r="I2517" s="898"/>
      <c r="J2517" s="898"/>
      <c r="K2517" s="899"/>
      <c r="L2517" s="899"/>
      <c r="M2517" s="899"/>
      <c r="N2517" s="899"/>
      <c r="O2517" s="899"/>
      <c r="P2517" s="899"/>
      <c r="Q2517" s="573"/>
      <c r="R2517" s="573"/>
      <c r="S2517" s="573"/>
      <c r="T2517" s="573"/>
      <c r="U2517" s="573"/>
      <c r="V2517" s="573"/>
      <c r="W2517" s="573"/>
      <c r="X2517" s="573"/>
      <c r="Y2517" s="573"/>
      <c r="Z2517" s="573"/>
    </row>
    <row r="2518" spans="1:26" ht="18.75">
      <c r="A2518" s="677"/>
      <c r="B2518" s="677"/>
      <c r="C2518" s="677"/>
      <c r="D2518" s="896"/>
      <c r="E2518" s="677"/>
      <c r="F2518" s="677"/>
      <c r="G2518" s="677"/>
      <c r="H2518" s="897"/>
      <c r="I2518" s="898"/>
      <c r="J2518" s="898"/>
      <c r="K2518" s="899"/>
      <c r="L2518" s="899"/>
      <c r="M2518" s="899"/>
      <c r="N2518" s="899"/>
      <c r="O2518" s="899"/>
      <c r="P2518" s="899"/>
      <c r="Q2518" s="573"/>
      <c r="R2518" s="573"/>
      <c r="S2518" s="573"/>
      <c r="T2518" s="573"/>
      <c r="U2518" s="573"/>
      <c r="V2518" s="573"/>
      <c r="W2518" s="573"/>
      <c r="X2518" s="573"/>
      <c r="Y2518" s="573"/>
      <c r="Z2518" s="573"/>
    </row>
    <row r="2519" spans="1:26" ht="18.75">
      <c r="A2519" s="677"/>
      <c r="B2519" s="677"/>
      <c r="C2519" s="677"/>
      <c r="D2519" s="896"/>
      <c r="E2519" s="677"/>
      <c r="F2519" s="677"/>
      <c r="G2519" s="677"/>
      <c r="H2519" s="897"/>
      <c r="I2519" s="898"/>
      <c r="J2519" s="898"/>
      <c r="K2519" s="899"/>
      <c r="L2519" s="899"/>
      <c r="M2519" s="899"/>
      <c r="N2519" s="899"/>
      <c r="O2519" s="899"/>
      <c r="P2519" s="899"/>
      <c r="Q2519" s="573"/>
      <c r="R2519" s="573"/>
      <c r="S2519" s="573"/>
      <c r="T2519" s="573"/>
      <c r="U2519" s="573"/>
      <c r="V2519" s="573"/>
      <c r="W2519" s="573"/>
      <c r="X2519" s="573"/>
      <c r="Y2519" s="573"/>
      <c r="Z2519" s="573"/>
    </row>
    <row r="2520" spans="1:26" ht="18.75">
      <c r="A2520" s="677"/>
      <c r="B2520" s="677"/>
      <c r="C2520" s="677"/>
      <c r="D2520" s="896"/>
      <c r="E2520" s="677"/>
      <c r="F2520" s="677"/>
      <c r="G2520" s="677"/>
      <c r="H2520" s="897"/>
      <c r="I2520" s="898"/>
      <c r="J2520" s="898"/>
      <c r="K2520" s="899"/>
      <c r="L2520" s="899"/>
      <c r="M2520" s="899"/>
      <c r="N2520" s="899"/>
      <c r="O2520" s="899"/>
      <c r="P2520" s="899"/>
      <c r="Q2520" s="573"/>
      <c r="R2520" s="573"/>
      <c r="S2520" s="573"/>
      <c r="T2520" s="573"/>
      <c r="U2520" s="573"/>
      <c r="V2520" s="573"/>
      <c r="W2520" s="573"/>
      <c r="X2520" s="573"/>
      <c r="Y2520" s="573"/>
      <c r="Z2520" s="573"/>
    </row>
    <row r="2521" spans="1:26" ht="18.75">
      <c r="A2521" s="677"/>
      <c r="B2521" s="677"/>
      <c r="C2521" s="677"/>
      <c r="D2521" s="896"/>
      <c r="E2521" s="677"/>
      <c r="F2521" s="677"/>
      <c r="G2521" s="677"/>
      <c r="H2521" s="897"/>
      <c r="I2521" s="898"/>
      <c r="J2521" s="898"/>
      <c r="K2521" s="899"/>
      <c r="L2521" s="899"/>
      <c r="M2521" s="899"/>
      <c r="N2521" s="899"/>
      <c r="O2521" s="899"/>
      <c r="P2521" s="899"/>
      <c r="Q2521" s="573"/>
      <c r="R2521" s="573"/>
      <c r="S2521" s="573"/>
      <c r="T2521" s="573"/>
      <c r="U2521" s="573"/>
      <c r="V2521" s="573"/>
      <c r="W2521" s="573"/>
      <c r="X2521" s="573"/>
      <c r="Y2521" s="573"/>
      <c r="Z2521" s="573"/>
    </row>
    <row r="2522" spans="1:26" ht="18.75">
      <c r="A2522" s="677"/>
      <c r="B2522" s="677"/>
      <c r="C2522" s="677"/>
      <c r="D2522" s="896"/>
      <c r="E2522" s="677"/>
      <c r="F2522" s="677"/>
      <c r="G2522" s="677"/>
      <c r="H2522" s="897"/>
      <c r="I2522" s="898"/>
      <c r="J2522" s="898"/>
      <c r="K2522" s="899"/>
      <c r="L2522" s="899"/>
      <c r="M2522" s="899"/>
      <c r="N2522" s="899"/>
      <c r="O2522" s="899"/>
      <c r="P2522" s="899"/>
      <c r="Q2522" s="573"/>
      <c r="R2522" s="573"/>
      <c r="S2522" s="573"/>
      <c r="T2522" s="573"/>
      <c r="U2522" s="573"/>
      <c r="V2522" s="573"/>
      <c r="W2522" s="573"/>
      <c r="X2522" s="573"/>
      <c r="Y2522" s="573"/>
      <c r="Z2522" s="573"/>
    </row>
    <row r="2523" spans="1:26" ht="18.75">
      <c r="A2523" s="677"/>
      <c r="B2523" s="677"/>
      <c r="C2523" s="677"/>
      <c r="D2523" s="896"/>
      <c r="E2523" s="677"/>
      <c r="F2523" s="677"/>
      <c r="G2523" s="677"/>
      <c r="H2523" s="897"/>
      <c r="I2523" s="898"/>
      <c r="J2523" s="898"/>
      <c r="K2523" s="899"/>
      <c r="L2523" s="899"/>
      <c r="M2523" s="899"/>
      <c r="N2523" s="899"/>
      <c r="O2523" s="899"/>
      <c r="P2523" s="899"/>
      <c r="Q2523" s="573"/>
      <c r="R2523" s="573"/>
      <c r="S2523" s="573"/>
      <c r="T2523" s="573"/>
      <c r="U2523" s="573"/>
      <c r="V2523" s="573"/>
      <c r="W2523" s="573"/>
      <c r="X2523" s="573"/>
      <c r="Y2523" s="573"/>
      <c r="Z2523" s="573"/>
    </row>
    <row r="2524" spans="1:26" ht="18.75">
      <c r="A2524" s="677"/>
      <c r="B2524" s="677"/>
      <c r="C2524" s="677"/>
      <c r="D2524" s="896"/>
      <c r="E2524" s="677"/>
      <c r="F2524" s="677"/>
      <c r="G2524" s="677"/>
      <c r="H2524" s="897"/>
      <c r="I2524" s="898"/>
      <c r="J2524" s="898"/>
      <c r="K2524" s="899"/>
      <c r="L2524" s="899"/>
      <c r="M2524" s="899"/>
      <c r="N2524" s="899"/>
      <c r="O2524" s="899"/>
      <c r="P2524" s="899"/>
      <c r="Q2524" s="573"/>
      <c r="R2524" s="573"/>
      <c r="S2524" s="573"/>
      <c r="T2524" s="573"/>
      <c r="U2524" s="573"/>
      <c r="V2524" s="573"/>
      <c r="W2524" s="573"/>
      <c r="X2524" s="573"/>
      <c r="Y2524" s="573"/>
      <c r="Z2524" s="573"/>
    </row>
    <row r="2525" spans="1:26" ht="18.75">
      <c r="A2525" s="677"/>
      <c r="B2525" s="677"/>
      <c r="C2525" s="677"/>
      <c r="D2525" s="896"/>
      <c r="E2525" s="677"/>
      <c r="F2525" s="677"/>
      <c r="G2525" s="677"/>
      <c r="H2525" s="897"/>
      <c r="I2525" s="898"/>
      <c r="J2525" s="898"/>
      <c r="K2525" s="899"/>
      <c r="L2525" s="899"/>
      <c r="M2525" s="899"/>
      <c r="N2525" s="899"/>
      <c r="O2525" s="899"/>
      <c r="P2525" s="899"/>
      <c r="Q2525" s="573"/>
      <c r="R2525" s="573"/>
      <c r="S2525" s="573"/>
      <c r="T2525" s="573"/>
      <c r="U2525" s="573"/>
      <c r="V2525" s="573"/>
      <c r="W2525" s="573"/>
      <c r="X2525" s="573"/>
      <c r="Y2525" s="573"/>
      <c r="Z2525" s="573"/>
    </row>
    <row r="2526" spans="1:26" ht="18.75">
      <c r="A2526" s="677"/>
      <c r="B2526" s="677"/>
      <c r="C2526" s="677"/>
      <c r="D2526" s="896"/>
      <c r="E2526" s="677"/>
      <c r="F2526" s="677"/>
      <c r="G2526" s="677"/>
      <c r="H2526" s="897"/>
      <c r="I2526" s="898"/>
      <c r="J2526" s="898"/>
      <c r="K2526" s="899"/>
      <c r="L2526" s="899"/>
      <c r="M2526" s="899"/>
      <c r="N2526" s="899"/>
      <c r="O2526" s="899"/>
      <c r="P2526" s="899"/>
      <c r="Q2526" s="573"/>
      <c r="R2526" s="573"/>
      <c r="S2526" s="573"/>
      <c r="T2526" s="573"/>
      <c r="U2526" s="573"/>
      <c r="V2526" s="573"/>
      <c r="W2526" s="573"/>
      <c r="X2526" s="573"/>
      <c r="Y2526" s="573"/>
      <c r="Z2526" s="573"/>
    </row>
    <row r="2527" spans="1:26" ht="18.75">
      <c r="A2527" s="677"/>
      <c r="B2527" s="677"/>
      <c r="C2527" s="677"/>
      <c r="D2527" s="896"/>
      <c r="E2527" s="677"/>
      <c r="F2527" s="677"/>
      <c r="G2527" s="677"/>
      <c r="H2527" s="897"/>
      <c r="I2527" s="898"/>
      <c r="J2527" s="898"/>
      <c r="K2527" s="899"/>
      <c r="L2527" s="899"/>
      <c r="M2527" s="899"/>
      <c r="N2527" s="899"/>
      <c r="O2527" s="899"/>
      <c r="P2527" s="899"/>
      <c r="Q2527" s="573"/>
      <c r="R2527" s="573"/>
      <c r="S2527" s="573"/>
      <c r="T2527" s="573"/>
      <c r="U2527" s="573"/>
      <c r="V2527" s="573"/>
      <c r="W2527" s="573"/>
      <c r="X2527" s="573"/>
      <c r="Y2527" s="573"/>
      <c r="Z2527" s="573"/>
    </row>
    <row r="2528" spans="1:26" ht="18.75">
      <c r="A2528" s="677"/>
      <c r="B2528" s="677"/>
      <c r="C2528" s="677"/>
      <c r="D2528" s="896"/>
      <c r="E2528" s="677"/>
      <c r="F2528" s="677"/>
      <c r="G2528" s="677"/>
      <c r="H2528" s="897"/>
      <c r="I2528" s="898"/>
      <c r="J2528" s="898"/>
      <c r="K2528" s="899"/>
      <c r="L2528" s="899"/>
      <c r="M2528" s="899"/>
      <c r="N2528" s="899"/>
      <c r="O2528" s="899"/>
      <c r="P2528" s="899"/>
      <c r="Q2528" s="573"/>
      <c r="R2528" s="573"/>
      <c r="S2528" s="573"/>
      <c r="T2528" s="573"/>
      <c r="U2528" s="573"/>
      <c r="V2528" s="573"/>
      <c r="W2528" s="573"/>
      <c r="X2528" s="573"/>
      <c r="Y2528" s="573"/>
      <c r="Z2528" s="573"/>
    </row>
    <row r="2529" spans="1:26" ht="18.75">
      <c r="A2529" s="677"/>
      <c r="B2529" s="677"/>
      <c r="C2529" s="677"/>
      <c r="D2529" s="896"/>
      <c r="E2529" s="677"/>
      <c r="F2529" s="677"/>
      <c r="G2529" s="677"/>
      <c r="H2529" s="897"/>
      <c r="I2529" s="898"/>
      <c r="J2529" s="898"/>
      <c r="K2529" s="899"/>
      <c r="L2529" s="899"/>
      <c r="M2529" s="899"/>
      <c r="N2529" s="899"/>
      <c r="O2529" s="899"/>
      <c r="P2529" s="899"/>
      <c r="Q2529" s="573"/>
      <c r="R2529" s="573"/>
      <c r="S2529" s="573"/>
      <c r="T2529" s="573"/>
      <c r="U2529" s="573"/>
      <c r="V2529" s="573"/>
      <c r="W2529" s="573"/>
      <c r="X2529" s="573"/>
      <c r="Y2529" s="573"/>
      <c r="Z2529" s="573"/>
    </row>
    <row r="2530" spans="1:26" ht="18.75">
      <c r="A2530" s="677"/>
      <c r="B2530" s="677"/>
      <c r="C2530" s="677"/>
      <c r="D2530" s="896"/>
      <c r="E2530" s="677"/>
      <c r="F2530" s="677"/>
      <c r="G2530" s="677"/>
      <c r="H2530" s="897"/>
      <c r="I2530" s="898"/>
      <c r="J2530" s="898"/>
      <c r="K2530" s="899"/>
      <c r="L2530" s="899"/>
      <c r="M2530" s="899"/>
      <c r="N2530" s="899"/>
      <c r="O2530" s="899"/>
      <c r="P2530" s="899"/>
      <c r="Q2530" s="573"/>
      <c r="R2530" s="573"/>
      <c r="S2530" s="573"/>
      <c r="T2530" s="573"/>
      <c r="U2530" s="573"/>
      <c r="V2530" s="573"/>
      <c r="W2530" s="573"/>
      <c r="X2530" s="573"/>
      <c r="Y2530" s="573"/>
      <c r="Z2530" s="573"/>
    </row>
    <row r="2531" spans="1:26" ht="18.75">
      <c r="A2531" s="677"/>
      <c r="B2531" s="677"/>
      <c r="C2531" s="677"/>
      <c r="D2531" s="896"/>
      <c r="E2531" s="677"/>
      <c r="F2531" s="677"/>
      <c r="G2531" s="677"/>
      <c r="H2531" s="897"/>
      <c r="I2531" s="898"/>
      <c r="J2531" s="898"/>
      <c r="K2531" s="899"/>
      <c r="L2531" s="899"/>
      <c r="M2531" s="899"/>
      <c r="N2531" s="899"/>
      <c r="O2531" s="899"/>
      <c r="P2531" s="899"/>
      <c r="Q2531" s="573"/>
      <c r="R2531" s="573"/>
      <c r="S2531" s="573"/>
      <c r="T2531" s="573"/>
      <c r="U2531" s="573"/>
      <c r="V2531" s="573"/>
      <c r="W2531" s="573"/>
      <c r="X2531" s="573"/>
      <c r="Y2531" s="573"/>
      <c r="Z2531" s="573"/>
    </row>
    <row r="2532" spans="1:26" ht="18.75">
      <c r="A2532" s="677"/>
      <c r="B2532" s="677"/>
      <c r="C2532" s="677"/>
      <c r="D2532" s="896"/>
      <c r="E2532" s="677"/>
      <c r="F2532" s="677"/>
      <c r="G2532" s="677"/>
      <c r="H2532" s="897"/>
      <c r="I2532" s="898"/>
      <c r="J2532" s="898"/>
      <c r="K2532" s="899"/>
      <c r="L2532" s="899"/>
      <c r="M2532" s="899"/>
      <c r="N2532" s="899"/>
      <c r="O2532" s="899"/>
      <c r="P2532" s="899"/>
      <c r="Q2532" s="573"/>
      <c r="R2532" s="573"/>
      <c r="S2532" s="573"/>
      <c r="T2532" s="573"/>
      <c r="U2532" s="573"/>
      <c r="V2532" s="573"/>
      <c r="W2532" s="573"/>
      <c r="X2532" s="573"/>
      <c r="Y2532" s="573"/>
      <c r="Z2532" s="573"/>
    </row>
    <row r="2533" spans="1:26" ht="18.75">
      <c r="A2533" s="677"/>
      <c r="B2533" s="677"/>
      <c r="C2533" s="677"/>
      <c r="D2533" s="896"/>
      <c r="E2533" s="677"/>
      <c r="F2533" s="677"/>
      <c r="G2533" s="677"/>
      <c r="H2533" s="897"/>
      <c r="I2533" s="898"/>
      <c r="J2533" s="898"/>
      <c r="K2533" s="899"/>
      <c r="L2533" s="899"/>
      <c r="M2533" s="899"/>
      <c r="N2533" s="899"/>
      <c r="O2533" s="899"/>
      <c r="P2533" s="899"/>
      <c r="Q2533" s="573"/>
      <c r="R2533" s="573"/>
      <c r="S2533" s="573"/>
      <c r="T2533" s="573"/>
      <c r="U2533" s="573"/>
      <c r="V2533" s="573"/>
      <c r="W2533" s="573"/>
      <c r="X2533" s="573"/>
      <c r="Y2533" s="573"/>
      <c r="Z2533" s="573"/>
    </row>
    <row r="2534" spans="1:26" ht="18.75">
      <c r="A2534" s="677"/>
      <c r="B2534" s="677"/>
      <c r="C2534" s="677"/>
      <c r="D2534" s="896"/>
      <c r="E2534" s="677"/>
      <c r="F2534" s="677"/>
      <c r="G2534" s="677"/>
      <c r="H2534" s="897"/>
      <c r="I2534" s="898"/>
      <c r="J2534" s="898"/>
      <c r="K2534" s="899"/>
      <c r="L2534" s="899"/>
      <c r="M2534" s="899"/>
      <c r="N2534" s="899"/>
      <c r="O2534" s="899"/>
      <c r="P2534" s="899"/>
      <c r="Q2534" s="573"/>
      <c r="R2534" s="573"/>
      <c r="S2534" s="573"/>
      <c r="T2534" s="573"/>
      <c r="U2534" s="573"/>
      <c r="V2534" s="573"/>
      <c r="W2534" s="573"/>
      <c r="X2534" s="573"/>
      <c r="Y2534" s="573"/>
      <c r="Z2534" s="573"/>
    </row>
    <row r="2535" spans="1:26" ht="18.75">
      <c r="A2535" s="677"/>
      <c r="B2535" s="677"/>
      <c r="C2535" s="677"/>
      <c r="D2535" s="896"/>
      <c r="E2535" s="677"/>
      <c r="F2535" s="677"/>
      <c r="G2535" s="677"/>
      <c r="H2535" s="897"/>
      <c r="I2535" s="898"/>
      <c r="J2535" s="898"/>
      <c r="K2535" s="899"/>
      <c r="L2535" s="899"/>
      <c r="M2535" s="899"/>
      <c r="N2535" s="899"/>
      <c r="O2535" s="899"/>
      <c r="P2535" s="899"/>
      <c r="Q2535" s="573"/>
      <c r="R2535" s="573"/>
      <c r="S2535" s="573"/>
      <c r="T2535" s="573"/>
      <c r="U2535" s="573"/>
      <c r="V2535" s="573"/>
      <c r="W2535" s="573"/>
      <c r="X2535" s="573"/>
      <c r="Y2535" s="573"/>
      <c r="Z2535" s="573"/>
    </row>
    <row r="2536" spans="1:26" ht="18.75">
      <c r="A2536" s="677"/>
      <c r="B2536" s="677"/>
      <c r="C2536" s="677"/>
      <c r="D2536" s="896"/>
      <c r="E2536" s="677"/>
      <c r="F2536" s="677"/>
      <c r="G2536" s="677"/>
      <c r="H2536" s="897"/>
      <c r="I2536" s="898"/>
      <c r="J2536" s="898"/>
      <c r="K2536" s="899"/>
      <c r="L2536" s="899"/>
      <c r="M2536" s="899"/>
      <c r="N2536" s="899"/>
      <c r="O2536" s="899"/>
      <c r="P2536" s="899"/>
      <c r="Q2536" s="573"/>
      <c r="R2536" s="573"/>
      <c r="S2536" s="573"/>
      <c r="T2536" s="573"/>
      <c r="U2536" s="573"/>
      <c r="V2536" s="573"/>
      <c r="W2536" s="573"/>
      <c r="X2536" s="573"/>
      <c r="Y2536" s="573"/>
      <c r="Z2536" s="573"/>
    </row>
    <row r="2537" spans="1:26" ht="18.75">
      <c r="A2537" s="677"/>
      <c r="B2537" s="677"/>
      <c r="C2537" s="677"/>
      <c r="D2537" s="896"/>
      <c r="E2537" s="677"/>
      <c r="F2537" s="677"/>
      <c r="G2537" s="677"/>
      <c r="H2537" s="897"/>
      <c r="I2537" s="898"/>
      <c r="J2537" s="898"/>
      <c r="K2537" s="899"/>
      <c r="L2537" s="899"/>
      <c r="M2537" s="899"/>
      <c r="N2537" s="899"/>
      <c r="O2537" s="899"/>
      <c r="P2537" s="899"/>
      <c r="Q2537" s="573"/>
      <c r="R2537" s="573"/>
      <c r="S2537" s="573"/>
      <c r="T2537" s="573"/>
      <c r="U2537" s="573"/>
      <c r="V2537" s="573"/>
      <c r="W2537" s="573"/>
      <c r="X2537" s="573"/>
      <c r="Y2537" s="573"/>
      <c r="Z2537" s="573"/>
    </row>
    <row r="2538" spans="1:26" ht="18.75">
      <c r="A2538" s="677"/>
      <c r="B2538" s="677"/>
      <c r="C2538" s="677"/>
      <c r="D2538" s="896"/>
      <c r="E2538" s="677"/>
      <c r="F2538" s="677"/>
      <c r="G2538" s="677"/>
      <c r="H2538" s="897"/>
      <c r="I2538" s="898"/>
      <c r="J2538" s="898"/>
      <c r="K2538" s="899"/>
      <c r="L2538" s="899"/>
      <c r="M2538" s="899"/>
      <c r="N2538" s="899"/>
      <c r="O2538" s="899"/>
      <c r="P2538" s="899"/>
      <c r="Q2538" s="573"/>
      <c r="R2538" s="573"/>
      <c r="S2538" s="573"/>
      <c r="T2538" s="573"/>
      <c r="U2538" s="573"/>
      <c r="V2538" s="573"/>
      <c r="W2538" s="573"/>
      <c r="X2538" s="573"/>
      <c r="Y2538" s="573"/>
      <c r="Z2538" s="573"/>
    </row>
    <row r="2539" spans="1:26" ht="18.75">
      <c r="A2539" s="677"/>
      <c r="B2539" s="677"/>
      <c r="C2539" s="677"/>
      <c r="D2539" s="896"/>
      <c r="E2539" s="677"/>
      <c r="F2539" s="677"/>
      <c r="G2539" s="677"/>
      <c r="H2539" s="897"/>
      <c r="I2539" s="898"/>
      <c r="J2539" s="898"/>
      <c r="K2539" s="899"/>
      <c r="L2539" s="899"/>
      <c r="M2539" s="899"/>
      <c r="N2539" s="899"/>
      <c r="O2539" s="899"/>
      <c r="P2539" s="899"/>
      <c r="Q2539" s="573"/>
      <c r="R2539" s="573"/>
      <c r="S2539" s="573"/>
      <c r="T2539" s="573"/>
      <c r="U2539" s="573"/>
      <c r="V2539" s="573"/>
      <c r="W2539" s="573"/>
      <c r="X2539" s="573"/>
      <c r="Y2539" s="573"/>
      <c r="Z2539" s="573"/>
    </row>
    <row r="2540" spans="1:26" ht="18.75">
      <c r="A2540" s="677"/>
      <c r="B2540" s="677"/>
      <c r="C2540" s="677"/>
      <c r="D2540" s="896"/>
      <c r="E2540" s="677"/>
      <c r="F2540" s="677"/>
      <c r="G2540" s="677"/>
      <c r="H2540" s="897"/>
      <c r="I2540" s="898"/>
      <c r="J2540" s="898"/>
      <c r="K2540" s="899"/>
      <c r="L2540" s="899"/>
      <c r="M2540" s="899"/>
      <c r="N2540" s="899"/>
      <c r="O2540" s="899"/>
      <c r="P2540" s="899"/>
      <c r="Q2540" s="573"/>
      <c r="R2540" s="573"/>
      <c r="S2540" s="573"/>
      <c r="T2540" s="573"/>
      <c r="U2540" s="573"/>
      <c r="V2540" s="573"/>
      <c r="W2540" s="573"/>
      <c r="X2540" s="573"/>
      <c r="Y2540" s="573"/>
      <c r="Z2540" s="573"/>
    </row>
    <row r="2541" spans="1:26" ht="18.75">
      <c r="A2541" s="677"/>
      <c r="B2541" s="677"/>
      <c r="C2541" s="677"/>
      <c r="D2541" s="896"/>
      <c r="E2541" s="677"/>
      <c r="F2541" s="677"/>
      <c r="G2541" s="677"/>
      <c r="H2541" s="897"/>
      <c r="I2541" s="898"/>
      <c r="J2541" s="898"/>
      <c r="K2541" s="899"/>
      <c r="L2541" s="899"/>
      <c r="M2541" s="899"/>
      <c r="N2541" s="899"/>
      <c r="O2541" s="899"/>
      <c r="P2541" s="899"/>
      <c r="Q2541" s="573"/>
      <c r="R2541" s="573"/>
      <c r="S2541" s="573"/>
      <c r="T2541" s="573"/>
      <c r="U2541" s="573"/>
      <c r="V2541" s="573"/>
      <c r="W2541" s="573"/>
      <c r="X2541" s="573"/>
      <c r="Y2541" s="573"/>
      <c r="Z2541" s="573"/>
    </row>
    <row r="2542" spans="1:26" ht="18.75">
      <c r="A2542" s="677"/>
      <c r="B2542" s="677"/>
      <c r="C2542" s="677"/>
      <c r="D2542" s="896"/>
      <c r="E2542" s="677"/>
      <c r="F2542" s="677"/>
      <c r="G2542" s="677"/>
      <c r="H2542" s="897"/>
      <c r="I2542" s="898"/>
      <c r="J2542" s="898"/>
      <c r="K2542" s="899"/>
      <c r="L2542" s="899"/>
      <c r="M2542" s="899"/>
      <c r="N2542" s="899"/>
      <c r="O2542" s="899"/>
      <c r="P2542" s="899"/>
      <c r="Q2542" s="573"/>
      <c r="R2542" s="573"/>
      <c r="S2542" s="573"/>
      <c r="T2542" s="573"/>
      <c r="U2542" s="573"/>
      <c r="V2542" s="573"/>
      <c r="W2542" s="573"/>
      <c r="X2542" s="573"/>
      <c r="Y2542" s="573"/>
      <c r="Z2542" s="573"/>
    </row>
    <row r="2543" spans="1:26" ht="18.75">
      <c r="A2543" s="677"/>
      <c r="B2543" s="677"/>
      <c r="C2543" s="677"/>
      <c r="D2543" s="896"/>
      <c r="E2543" s="677"/>
      <c r="F2543" s="677"/>
      <c r="G2543" s="677"/>
      <c r="H2543" s="897"/>
      <c r="I2543" s="898"/>
      <c r="J2543" s="898"/>
      <c r="K2543" s="899"/>
      <c r="L2543" s="899"/>
      <c r="M2543" s="899"/>
      <c r="N2543" s="899"/>
      <c r="O2543" s="899"/>
      <c r="P2543" s="899"/>
      <c r="Q2543" s="573"/>
      <c r="R2543" s="573"/>
      <c r="S2543" s="573"/>
      <c r="T2543" s="573"/>
      <c r="U2543" s="573"/>
      <c r="V2543" s="573"/>
      <c r="W2543" s="573"/>
      <c r="X2543" s="573"/>
      <c r="Y2543" s="573"/>
      <c r="Z2543" s="573"/>
    </row>
    <row r="2544" spans="1:26" ht="18.75">
      <c r="A2544" s="677"/>
      <c r="B2544" s="677"/>
      <c r="C2544" s="677"/>
      <c r="D2544" s="896"/>
      <c r="E2544" s="677"/>
      <c r="F2544" s="677"/>
      <c r="G2544" s="677"/>
      <c r="H2544" s="897"/>
      <c r="I2544" s="898"/>
      <c r="J2544" s="898"/>
      <c r="K2544" s="899"/>
      <c r="L2544" s="899"/>
      <c r="M2544" s="899"/>
      <c r="N2544" s="899"/>
      <c r="O2544" s="899"/>
      <c r="P2544" s="899"/>
      <c r="Q2544" s="573"/>
      <c r="R2544" s="573"/>
      <c r="S2544" s="573"/>
      <c r="T2544" s="573"/>
      <c r="U2544" s="573"/>
      <c r="V2544" s="573"/>
      <c r="W2544" s="573"/>
      <c r="X2544" s="573"/>
      <c r="Y2544" s="573"/>
      <c r="Z2544" s="573"/>
    </row>
    <row r="2545" spans="1:26" ht="18.75">
      <c r="A2545" s="677"/>
      <c r="B2545" s="677"/>
      <c r="C2545" s="677"/>
      <c r="D2545" s="896"/>
      <c r="E2545" s="677"/>
      <c r="F2545" s="677"/>
      <c r="G2545" s="677"/>
      <c r="H2545" s="897"/>
      <c r="I2545" s="898"/>
      <c r="J2545" s="898"/>
      <c r="K2545" s="899"/>
      <c r="L2545" s="899"/>
      <c r="M2545" s="899"/>
      <c r="N2545" s="899"/>
      <c r="O2545" s="899"/>
      <c r="P2545" s="899"/>
      <c r="Q2545" s="573"/>
      <c r="R2545" s="573"/>
      <c r="S2545" s="573"/>
      <c r="T2545" s="573"/>
      <c r="U2545" s="573"/>
      <c r="V2545" s="573"/>
      <c r="W2545" s="573"/>
      <c r="X2545" s="573"/>
      <c r="Y2545" s="573"/>
      <c r="Z2545" s="573"/>
    </row>
    <row r="2546" spans="1:26" ht="18.75">
      <c r="A2546" s="677"/>
      <c r="B2546" s="677"/>
      <c r="C2546" s="677"/>
      <c r="D2546" s="896"/>
      <c r="E2546" s="677"/>
      <c r="F2546" s="677"/>
      <c r="G2546" s="677"/>
      <c r="H2546" s="897"/>
      <c r="I2546" s="898"/>
      <c r="J2546" s="898"/>
      <c r="K2546" s="899"/>
      <c r="L2546" s="899"/>
      <c r="M2546" s="899"/>
      <c r="N2546" s="899"/>
      <c r="O2546" s="899"/>
      <c r="P2546" s="899"/>
      <c r="Q2546" s="573"/>
      <c r="R2546" s="573"/>
      <c r="S2546" s="573"/>
      <c r="T2546" s="573"/>
      <c r="U2546" s="573"/>
      <c r="V2546" s="573"/>
      <c r="W2546" s="573"/>
      <c r="X2546" s="573"/>
      <c r="Y2546" s="573"/>
      <c r="Z2546" s="573"/>
    </row>
    <row r="2547" spans="1:26" ht="18.75">
      <c r="A2547" s="677"/>
      <c r="B2547" s="677"/>
      <c r="C2547" s="677"/>
      <c r="D2547" s="896"/>
      <c r="E2547" s="677"/>
      <c r="F2547" s="677"/>
      <c r="G2547" s="677"/>
      <c r="H2547" s="897"/>
      <c r="I2547" s="898"/>
      <c r="J2547" s="898"/>
      <c r="K2547" s="899"/>
      <c r="L2547" s="899"/>
      <c r="M2547" s="899"/>
      <c r="N2547" s="899"/>
      <c r="O2547" s="899"/>
      <c r="P2547" s="899"/>
      <c r="Q2547" s="573"/>
      <c r="R2547" s="573"/>
      <c r="S2547" s="573"/>
      <c r="T2547" s="573"/>
      <c r="U2547" s="573"/>
      <c r="V2547" s="573"/>
      <c r="W2547" s="573"/>
      <c r="X2547" s="573"/>
      <c r="Y2547" s="573"/>
      <c r="Z2547" s="573"/>
    </row>
    <row r="2548" spans="1:26" ht="18.75">
      <c r="A2548" s="677"/>
      <c r="B2548" s="677"/>
      <c r="C2548" s="677"/>
      <c r="D2548" s="896"/>
      <c r="E2548" s="677"/>
      <c r="F2548" s="677"/>
      <c r="G2548" s="677"/>
      <c r="H2548" s="897"/>
      <c r="I2548" s="898"/>
      <c r="J2548" s="898"/>
      <c r="K2548" s="899"/>
      <c r="L2548" s="899"/>
      <c r="M2548" s="899"/>
      <c r="N2548" s="899"/>
      <c r="O2548" s="899"/>
      <c r="P2548" s="899"/>
      <c r="Q2548" s="573"/>
      <c r="R2548" s="573"/>
      <c r="S2548" s="573"/>
      <c r="T2548" s="573"/>
      <c r="U2548" s="573"/>
      <c r="V2548" s="573"/>
      <c r="W2548" s="573"/>
      <c r="X2548" s="573"/>
      <c r="Y2548" s="573"/>
      <c r="Z2548" s="573"/>
    </row>
    <row r="2549" spans="1:26" ht="18.75">
      <c r="A2549" s="677"/>
      <c r="B2549" s="677"/>
      <c r="C2549" s="677"/>
      <c r="D2549" s="896"/>
      <c r="E2549" s="677"/>
      <c r="F2549" s="677"/>
      <c r="G2549" s="677"/>
      <c r="H2549" s="897"/>
      <c r="I2549" s="898"/>
      <c r="J2549" s="898"/>
      <c r="K2549" s="899"/>
      <c r="L2549" s="899"/>
      <c r="M2549" s="899"/>
      <c r="N2549" s="899"/>
      <c r="O2549" s="899"/>
      <c r="P2549" s="899"/>
      <c r="Q2549" s="573"/>
      <c r="R2549" s="573"/>
      <c r="S2549" s="573"/>
      <c r="T2549" s="573"/>
      <c r="U2549" s="573"/>
      <c r="V2549" s="573"/>
      <c r="W2549" s="573"/>
      <c r="X2549" s="573"/>
      <c r="Y2549" s="573"/>
      <c r="Z2549" s="573"/>
    </row>
    <row r="2550" spans="1:26" ht="18.75">
      <c r="A2550" s="677"/>
      <c r="B2550" s="677"/>
      <c r="C2550" s="677"/>
      <c r="D2550" s="896"/>
      <c r="E2550" s="677"/>
      <c r="F2550" s="677"/>
      <c r="G2550" s="677"/>
      <c r="H2550" s="897"/>
      <c r="I2550" s="898"/>
      <c r="J2550" s="898"/>
      <c r="K2550" s="899"/>
      <c r="L2550" s="899"/>
      <c r="M2550" s="899"/>
      <c r="N2550" s="899"/>
      <c r="O2550" s="899"/>
      <c r="P2550" s="899"/>
      <c r="Q2550" s="573"/>
      <c r="R2550" s="573"/>
      <c r="S2550" s="573"/>
      <c r="T2550" s="573"/>
      <c r="U2550" s="573"/>
      <c r="V2550" s="573"/>
      <c r="W2550" s="573"/>
      <c r="X2550" s="573"/>
      <c r="Y2550" s="573"/>
      <c r="Z2550" s="573"/>
    </row>
    <row r="2551" spans="1:26" ht="18.75">
      <c r="A2551" s="677"/>
      <c r="B2551" s="677"/>
      <c r="C2551" s="677"/>
      <c r="D2551" s="896"/>
      <c r="E2551" s="677"/>
      <c r="F2551" s="677"/>
      <c r="G2551" s="677"/>
      <c r="H2551" s="897"/>
      <c r="I2551" s="898"/>
      <c r="J2551" s="898"/>
      <c r="K2551" s="899"/>
      <c r="L2551" s="899"/>
      <c r="M2551" s="899"/>
      <c r="N2551" s="899"/>
      <c r="O2551" s="899"/>
      <c r="P2551" s="899"/>
      <c r="Q2551" s="573"/>
      <c r="R2551" s="573"/>
      <c r="S2551" s="573"/>
      <c r="T2551" s="573"/>
      <c r="U2551" s="573"/>
      <c r="V2551" s="573"/>
      <c r="W2551" s="573"/>
      <c r="X2551" s="573"/>
      <c r="Y2551" s="573"/>
      <c r="Z2551" s="573"/>
    </row>
    <row r="2552" spans="1:26" ht="18.75">
      <c r="A2552" s="677"/>
      <c r="B2552" s="677"/>
      <c r="C2552" s="677"/>
      <c r="D2552" s="896"/>
      <c r="E2552" s="677"/>
      <c r="F2552" s="677"/>
      <c r="G2552" s="677"/>
      <c r="H2552" s="897"/>
      <c r="I2552" s="898"/>
      <c r="J2552" s="898"/>
      <c r="K2552" s="899"/>
      <c r="L2552" s="899"/>
      <c r="M2552" s="899"/>
      <c r="N2552" s="899"/>
      <c r="O2552" s="899"/>
      <c r="P2552" s="899"/>
      <c r="Q2552" s="573"/>
      <c r="R2552" s="573"/>
      <c r="S2552" s="573"/>
      <c r="T2552" s="573"/>
      <c r="U2552" s="573"/>
      <c r="V2552" s="573"/>
      <c r="W2552" s="573"/>
      <c r="X2552" s="573"/>
      <c r="Y2552" s="573"/>
      <c r="Z2552" s="573"/>
    </row>
    <row r="2553" spans="1:26" ht="18.75">
      <c r="A2553" s="677"/>
      <c r="B2553" s="677"/>
      <c r="C2553" s="677"/>
      <c r="D2553" s="896"/>
      <c r="E2553" s="677"/>
      <c r="F2553" s="677"/>
      <c r="G2553" s="677"/>
      <c r="H2553" s="897"/>
      <c r="I2553" s="898"/>
      <c r="J2553" s="898"/>
      <c r="K2553" s="899"/>
      <c r="L2553" s="899"/>
      <c r="M2553" s="899"/>
      <c r="N2553" s="899"/>
      <c r="O2553" s="899"/>
      <c r="P2553" s="899"/>
      <c r="Q2553" s="573"/>
      <c r="R2553" s="573"/>
      <c r="S2553" s="573"/>
      <c r="T2553" s="573"/>
      <c r="U2553" s="573"/>
      <c r="V2553" s="573"/>
      <c r="W2553" s="573"/>
      <c r="X2553" s="573"/>
      <c r="Y2553" s="573"/>
      <c r="Z2553" s="573"/>
    </row>
    <row r="2554" spans="1:26" ht="18.75">
      <c r="A2554" s="677"/>
      <c r="B2554" s="677"/>
      <c r="C2554" s="677"/>
      <c r="D2554" s="896"/>
      <c r="E2554" s="677"/>
      <c r="F2554" s="677"/>
      <c r="G2554" s="677"/>
      <c r="H2554" s="897"/>
      <c r="I2554" s="898"/>
      <c r="J2554" s="898"/>
      <c r="K2554" s="899"/>
      <c r="L2554" s="899"/>
      <c r="M2554" s="899"/>
      <c r="N2554" s="899"/>
      <c r="O2554" s="899"/>
      <c r="P2554" s="899"/>
      <c r="Q2554" s="573"/>
      <c r="R2554" s="573"/>
      <c r="S2554" s="573"/>
      <c r="T2554" s="573"/>
      <c r="U2554" s="573"/>
      <c r="V2554" s="573"/>
      <c r="W2554" s="573"/>
      <c r="X2554" s="573"/>
      <c r="Y2554" s="573"/>
      <c r="Z2554" s="573"/>
    </row>
    <row r="2555" spans="1:26" ht="18.75">
      <c r="A2555" s="677"/>
      <c r="B2555" s="677"/>
      <c r="C2555" s="677"/>
      <c r="D2555" s="896"/>
      <c r="E2555" s="677"/>
      <c r="F2555" s="677"/>
      <c r="G2555" s="677"/>
      <c r="H2555" s="897"/>
      <c r="I2555" s="898"/>
      <c r="J2555" s="898"/>
      <c r="K2555" s="899"/>
      <c r="L2555" s="899"/>
      <c r="M2555" s="899"/>
      <c r="N2555" s="899"/>
      <c r="O2555" s="899"/>
      <c r="P2555" s="899"/>
      <c r="Q2555" s="573"/>
      <c r="R2555" s="573"/>
      <c r="S2555" s="573"/>
      <c r="T2555" s="573"/>
      <c r="U2555" s="573"/>
      <c r="V2555" s="573"/>
      <c r="W2555" s="573"/>
      <c r="X2555" s="573"/>
      <c r="Y2555" s="573"/>
      <c r="Z2555" s="573"/>
    </row>
    <row r="2556" spans="1:26" ht="18.75">
      <c r="A2556" s="677"/>
      <c r="B2556" s="677"/>
      <c r="C2556" s="677"/>
      <c r="D2556" s="896"/>
      <c r="E2556" s="677"/>
      <c r="F2556" s="677"/>
      <c r="G2556" s="677"/>
      <c r="H2556" s="897"/>
      <c r="I2556" s="898"/>
      <c r="J2556" s="898"/>
      <c r="K2556" s="899"/>
      <c r="L2556" s="899"/>
      <c r="M2556" s="899"/>
      <c r="N2556" s="899"/>
      <c r="O2556" s="899"/>
      <c r="P2556" s="899"/>
      <c r="Q2556" s="573"/>
      <c r="R2556" s="573"/>
      <c r="S2556" s="573"/>
      <c r="T2556" s="573"/>
      <c r="U2556" s="573"/>
      <c r="V2556" s="573"/>
      <c r="W2556" s="573"/>
      <c r="X2556" s="573"/>
      <c r="Y2556" s="573"/>
      <c r="Z2556" s="573"/>
    </row>
    <row r="2557" spans="1:26" ht="18.75">
      <c r="A2557" s="677"/>
      <c r="B2557" s="677"/>
      <c r="C2557" s="677"/>
      <c r="D2557" s="896"/>
      <c r="E2557" s="677"/>
      <c r="F2557" s="677"/>
      <c r="G2557" s="677"/>
      <c r="H2557" s="897"/>
      <c r="I2557" s="898"/>
      <c r="J2557" s="898"/>
      <c r="K2557" s="899"/>
      <c r="L2557" s="899"/>
      <c r="M2557" s="899"/>
      <c r="N2557" s="899"/>
      <c r="O2557" s="899"/>
      <c r="P2557" s="899"/>
      <c r="Q2557" s="573"/>
      <c r="R2557" s="573"/>
      <c r="S2557" s="573"/>
      <c r="T2557" s="573"/>
      <c r="U2557" s="573"/>
      <c r="V2557" s="573"/>
      <c r="W2557" s="573"/>
      <c r="X2557" s="573"/>
      <c r="Y2557" s="573"/>
      <c r="Z2557" s="573"/>
    </row>
    <row r="2558" spans="1:26" ht="18.75">
      <c r="A2558" s="677"/>
      <c r="B2558" s="677"/>
      <c r="C2558" s="677"/>
      <c r="D2558" s="896"/>
      <c r="E2558" s="677"/>
      <c r="F2558" s="677"/>
      <c r="G2558" s="677"/>
      <c r="H2558" s="897"/>
      <c r="I2558" s="898"/>
      <c r="J2558" s="898"/>
      <c r="K2558" s="899"/>
      <c r="L2558" s="899"/>
      <c r="M2558" s="899"/>
      <c r="N2558" s="899"/>
      <c r="O2558" s="899"/>
      <c r="P2558" s="899"/>
      <c r="Q2558" s="573"/>
      <c r="R2558" s="573"/>
      <c r="S2558" s="573"/>
      <c r="T2558" s="573"/>
      <c r="U2558" s="573"/>
      <c r="V2558" s="573"/>
      <c r="W2558" s="573"/>
      <c r="X2558" s="573"/>
      <c r="Y2558" s="573"/>
      <c r="Z2558" s="573"/>
    </row>
    <row r="2559" spans="1:26" ht="18.75">
      <c r="A2559" s="677"/>
      <c r="B2559" s="677"/>
      <c r="C2559" s="677"/>
      <c r="D2559" s="896"/>
      <c r="E2559" s="677"/>
      <c r="F2559" s="677"/>
      <c r="G2559" s="677"/>
      <c r="H2559" s="897"/>
      <c r="I2559" s="898"/>
      <c r="J2559" s="898"/>
      <c r="K2559" s="899"/>
      <c r="L2559" s="899"/>
      <c r="M2559" s="899"/>
      <c r="N2559" s="899"/>
      <c r="O2559" s="899"/>
      <c r="P2559" s="899"/>
      <c r="Q2559" s="573"/>
      <c r="R2559" s="573"/>
      <c r="S2559" s="573"/>
      <c r="T2559" s="573"/>
      <c r="U2559" s="573"/>
      <c r="V2559" s="573"/>
      <c r="W2559" s="573"/>
      <c r="X2559" s="573"/>
      <c r="Y2559" s="573"/>
      <c r="Z2559" s="573"/>
    </row>
    <row r="2560" spans="1:26" ht="18.75">
      <c r="A2560" s="677"/>
      <c r="B2560" s="677"/>
      <c r="C2560" s="677"/>
      <c r="D2560" s="896"/>
      <c r="E2560" s="677"/>
      <c r="F2560" s="677"/>
      <c r="G2560" s="677"/>
      <c r="H2560" s="897"/>
      <c r="I2560" s="898"/>
      <c r="J2560" s="898"/>
      <c r="K2560" s="899"/>
      <c r="L2560" s="899"/>
      <c r="M2560" s="899"/>
      <c r="N2560" s="899"/>
      <c r="O2560" s="899"/>
      <c r="P2560" s="899"/>
      <c r="Q2560" s="573"/>
      <c r="R2560" s="573"/>
      <c r="S2560" s="573"/>
      <c r="T2560" s="573"/>
      <c r="U2560" s="573"/>
      <c r="V2560" s="573"/>
      <c r="W2560" s="573"/>
      <c r="X2560" s="573"/>
      <c r="Y2560" s="573"/>
      <c r="Z2560" s="573"/>
    </row>
    <row r="2561" spans="1:26" ht="18.75">
      <c r="A2561" s="677"/>
      <c r="B2561" s="677"/>
      <c r="C2561" s="677"/>
      <c r="D2561" s="896"/>
      <c r="E2561" s="677"/>
      <c r="F2561" s="677"/>
      <c r="G2561" s="677"/>
      <c r="H2561" s="897"/>
      <c r="I2561" s="898"/>
      <c r="J2561" s="898"/>
      <c r="K2561" s="899"/>
      <c r="L2561" s="899"/>
      <c r="M2561" s="899"/>
      <c r="N2561" s="899"/>
      <c r="O2561" s="899"/>
      <c r="P2561" s="899"/>
      <c r="Q2561" s="573"/>
      <c r="R2561" s="573"/>
      <c r="S2561" s="573"/>
      <c r="T2561" s="573"/>
      <c r="U2561" s="573"/>
      <c r="V2561" s="573"/>
      <c r="W2561" s="573"/>
      <c r="X2561" s="573"/>
      <c r="Y2561" s="573"/>
      <c r="Z2561" s="573"/>
    </row>
    <row r="2562" spans="1:26" ht="18.75">
      <c r="A2562" s="677"/>
      <c r="B2562" s="677"/>
      <c r="C2562" s="677"/>
      <c r="D2562" s="896"/>
      <c r="E2562" s="677"/>
      <c r="F2562" s="677"/>
      <c r="G2562" s="677"/>
      <c r="H2562" s="897"/>
      <c r="I2562" s="898"/>
      <c r="J2562" s="898"/>
      <c r="K2562" s="899"/>
      <c r="L2562" s="899"/>
      <c r="M2562" s="899"/>
      <c r="N2562" s="899"/>
      <c r="O2562" s="899"/>
      <c r="P2562" s="899"/>
      <c r="Q2562" s="573"/>
      <c r="R2562" s="573"/>
      <c r="S2562" s="573"/>
      <c r="T2562" s="573"/>
      <c r="U2562" s="573"/>
      <c r="V2562" s="573"/>
      <c r="W2562" s="573"/>
      <c r="X2562" s="573"/>
      <c r="Y2562" s="573"/>
      <c r="Z2562" s="573"/>
    </row>
    <row r="2563" spans="1:26" ht="18.75">
      <c r="A2563" s="677"/>
      <c r="B2563" s="677"/>
      <c r="C2563" s="677"/>
      <c r="D2563" s="896"/>
      <c r="E2563" s="677"/>
      <c r="F2563" s="677"/>
      <c r="G2563" s="677"/>
      <c r="H2563" s="897"/>
      <c r="I2563" s="898"/>
      <c r="J2563" s="898"/>
      <c r="K2563" s="899"/>
      <c r="L2563" s="899"/>
      <c r="M2563" s="899"/>
      <c r="N2563" s="899"/>
      <c r="O2563" s="899"/>
      <c r="P2563" s="899"/>
      <c r="Q2563" s="573"/>
      <c r="R2563" s="573"/>
      <c r="S2563" s="573"/>
      <c r="T2563" s="573"/>
      <c r="U2563" s="573"/>
      <c r="V2563" s="573"/>
      <c r="W2563" s="573"/>
      <c r="X2563" s="573"/>
      <c r="Y2563" s="573"/>
      <c r="Z2563" s="573"/>
    </row>
    <row r="2564" spans="1:26" ht="18.75">
      <c r="A2564" s="677"/>
      <c r="B2564" s="677"/>
      <c r="C2564" s="677"/>
      <c r="D2564" s="896"/>
      <c r="E2564" s="677"/>
      <c r="F2564" s="677"/>
      <c r="G2564" s="677"/>
      <c r="H2564" s="897"/>
      <c r="I2564" s="898"/>
      <c r="J2564" s="898"/>
      <c r="K2564" s="899"/>
      <c r="L2564" s="899"/>
      <c r="M2564" s="899"/>
      <c r="N2564" s="899"/>
      <c r="O2564" s="899"/>
      <c r="P2564" s="899"/>
      <c r="Q2564" s="573"/>
      <c r="R2564" s="573"/>
      <c r="S2564" s="573"/>
      <c r="T2564" s="573"/>
      <c r="U2564" s="573"/>
      <c r="V2564" s="573"/>
      <c r="W2564" s="573"/>
      <c r="X2564" s="573"/>
      <c r="Y2564" s="573"/>
      <c r="Z2564" s="573"/>
    </row>
    <row r="2565" spans="1:26" ht="18.75">
      <c r="A2565" s="677"/>
      <c r="B2565" s="677"/>
      <c r="C2565" s="677"/>
      <c r="D2565" s="896"/>
      <c r="E2565" s="677"/>
      <c r="F2565" s="677"/>
      <c r="G2565" s="677"/>
      <c r="H2565" s="897"/>
      <c r="I2565" s="898"/>
      <c r="J2565" s="898"/>
      <c r="K2565" s="899"/>
      <c r="L2565" s="899"/>
      <c r="M2565" s="899"/>
      <c r="N2565" s="899"/>
      <c r="O2565" s="899"/>
      <c r="P2565" s="899"/>
      <c r="Q2565" s="573"/>
      <c r="R2565" s="573"/>
      <c r="S2565" s="573"/>
      <c r="T2565" s="573"/>
      <c r="U2565" s="573"/>
      <c r="V2565" s="573"/>
      <c r="W2565" s="573"/>
      <c r="X2565" s="573"/>
      <c r="Y2565" s="573"/>
      <c r="Z2565" s="573"/>
    </row>
    <row r="2566" spans="1:26" ht="18.75">
      <c r="A2566" s="677"/>
      <c r="B2566" s="677"/>
      <c r="C2566" s="677"/>
      <c r="D2566" s="896"/>
      <c r="E2566" s="677"/>
      <c r="F2566" s="677"/>
      <c r="G2566" s="677"/>
      <c r="H2566" s="897"/>
      <c r="I2566" s="898"/>
      <c r="J2566" s="898"/>
      <c r="K2566" s="899"/>
      <c r="L2566" s="899"/>
      <c r="M2566" s="899"/>
      <c r="N2566" s="899"/>
      <c r="O2566" s="899"/>
      <c r="P2566" s="899"/>
      <c r="Q2566" s="573"/>
      <c r="R2566" s="573"/>
      <c r="S2566" s="573"/>
      <c r="T2566" s="573"/>
      <c r="U2566" s="573"/>
      <c r="V2566" s="573"/>
      <c r="W2566" s="573"/>
      <c r="X2566" s="573"/>
      <c r="Y2566" s="573"/>
      <c r="Z2566" s="573"/>
    </row>
    <row r="2567" spans="1:26" ht="18.75">
      <c r="A2567" s="677"/>
      <c r="B2567" s="677"/>
      <c r="C2567" s="677"/>
      <c r="D2567" s="896"/>
      <c r="E2567" s="677"/>
      <c r="F2567" s="677"/>
      <c r="G2567" s="677"/>
      <c r="H2567" s="897"/>
      <c r="I2567" s="898"/>
      <c r="J2567" s="898"/>
      <c r="K2567" s="899"/>
      <c r="L2567" s="899"/>
      <c r="M2567" s="899"/>
      <c r="N2567" s="899"/>
      <c r="O2567" s="899"/>
      <c r="P2567" s="899"/>
      <c r="Q2567" s="573"/>
      <c r="R2567" s="573"/>
      <c r="S2567" s="573"/>
      <c r="T2567" s="573"/>
      <c r="U2567" s="573"/>
      <c r="V2567" s="573"/>
      <c r="W2567" s="573"/>
      <c r="X2567" s="573"/>
      <c r="Y2567" s="573"/>
      <c r="Z2567" s="573"/>
    </row>
    <row r="2568" spans="1:26" ht="18.75">
      <c r="A2568" s="677"/>
      <c r="B2568" s="677"/>
      <c r="C2568" s="677"/>
      <c r="D2568" s="896"/>
      <c r="E2568" s="677"/>
      <c r="F2568" s="677"/>
      <c r="G2568" s="677"/>
      <c r="H2568" s="897"/>
      <c r="I2568" s="898"/>
      <c r="J2568" s="898"/>
      <c r="K2568" s="899"/>
      <c r="L2568" s="899"/>
      <c r="M2568" s="899"/>
      <c r="N2568" s="899"/>
      <c r="O2568" s="899"/>
      <c r="P2568" s="899"/>
      <c r="Q2568" s="573"/>
      <c r="R2568" s="573"/>
      <c r="S2568" s="573"/>
      <c r="T2568" s="573"/>
      <c r="U2568" s="573"/>
      <c r="V2568" s="573"/>
      <c r="W2568" s="573"/>
      <c r="X2568" s="573"/>
      <c r="Y2568" s="573"/>
      <c r="Z2568" s="573"/>
    </row>
    <row r="2569" spans="1:26" ht="18.75">
      <c r="A2569" s="677"/>
      <c r="B2569" s="677"/>
      <c r="C2569" s="677"/>
      <c r="D2569" s="896"/>
      <c r="E2569" s="677"/>
      <c r="F2569" s="677"/>
      <c r="G2569" s="677"/>
      <c r="H2569" s="897"/>
      <c r="I2569" s="898"/>
      <c r="J2569" s="898"/>
      <c r="K2569" s="899"/>
      <c r="L2569" s="899"/>
      <c r="M2569" s="899"/>
      <c r="N2569" s="899"/>
      <c r="O2569" s="899"/>
      <c r="P2569" s="899"/>
      <c r="Q2569" s="573"/>
      <c r="R2569" s="573"/>
      <c r="S2569" s="573"/>
      <c r="T2569" s="573"/>
      <c r="U2569" s="573"/>
      <c r="V2569" s="573"/>
      <c r="W2569" s="573"/>
      <c r="X2569" s="573"/>
      <c r="Y2569" s="573"/>
      <c r="Z2569" s="573"/>
    </row>
    <row r="2570" spans="1:26" ht="18.75">
      <c r="A2570" s="677"/>
      <c r="B2570" s="677"/>
      <c r="C2570" s="677"/>
      <c r="D2570" s="896"/>
      <c r="E2570" s="677"/>
      <c r="F2570" s="677"/>
      <c r="G2570" s="677"/>
      <c r="H2570" s="897"/>
      <c r="I2570" s="898"/>
      <c r="J2570" s="898"/>
      <c r="K2570" s="899"/>
      <c r="L2570" s="899"/>
      <c r="M2570" s="899"/>
      <c r="N2570" s="899"/>
      <c r="O2570" s="899"/>
      <c r="P2570" s="899"/>
      <c r="Q2570" s="573"/>
      <c r="R2570" s="573"/>
      <c r="S2570" s="573"/>
      <c r="T2570" s="573"/>
      <c r="U2570" s="573"/>
      <c r="V2570" s="573"/>
      <c r="W2570" s="573"/>
      <c r="X2570" s="573"/>
      <c r="Y2570" s="573"/>
      <c r="Z2570" s="573"/>
    </row>
    <row r="2571" spans="1:26" ht="18.75">
      <c r="A2571" s="677"/>
      <c r="B2571" s="677"/>
      <c r="C2571" s="677"/>
      <c r="D2571" s="896"/>
      <c r="E2571" s="677"/>
      <c r="F2571" s="677"/>
      <c r="G2571" s="677"/>
      <c r="H2571" s="897"/>
      <c r="I2571" s="898"/>
      <c r="J2571" s="898"/>
      <c r="K2571" s="899"/>
      <c r="L2571" s="899"/>
      <c r="M2571" s="899"/>
      <c r="N2571" s="899"/>
      <c r="O2571" s="899"/>
      <c r="P2571" s="899"/>
      <c r="Q2571" s="573"/>
      <c r="R2571" s="573"/>
      <c r="S2571" s="573"/>
      <c r="T2571" s="573"/>
      <c r="U2571" s="573"/>
      <c r="V2571" s="573"/>
      <c r="W2571" s="573"/>
      <c r="X2571" s="573"/>
      <c r="Y2571" s="573"/>
      <c r="Z2571" s="573"/>
    </row>
    <row r="2572" spans="1:26" ht="18.75">
      <c r="A2572" s="677"/>
      <c r="B2572" s="677"/>
      <c r="C2572" s="677"/>
      <c r="D2572" s="896"/>
      <c r="E2572" s="677"/>
      <c r="F2572" s="677"/>
      <c r="G2572" s="677"/>
      <c r="H2572" s="897"/>
      <c r="I2572" s="898"/>
      <c r="J2572" s="898"/>
      <c r="K2572" s="899"/>
      <c r="L2572" s="899"/>
      <c r="M2572" s="899"/>
      <c r="N2572" s="899"/>
      <c r="O2572" s="899"/>
      <c r="P2572" s="899"/>
      <c r="Q2572" s="573"/>
      <c r="R2572" s="573"/>
      <c r="S2572" s="573"/>
      <c r="T2572" s="573"/>
      <c r="U2572" s="573"/>
      <c r="V2572" s="573"/>
      <c r="W2572" s="573"/>
      <c r="X2572" s="573"/>
      <c r="Y2572" s="573"/>
      <c r="Z2572" s="573"/>
    </row>
    <row r="2573" spans="1:26" ht="18.75">
      <c r="A2573" s="677"/>
      <c r="B2573" s="677"/>
      <c r="C2573" s="677"/>
      <c r="D2573" s="896"/>
      <c r="E2573" s="677"/>
      <c r="F2573" s="677"/>
      <c r="G2573" s="677"/>
      <c r="H2573" s="897"/>
      <c r="I2573" s="898"/>
      <c r="J2573" s="898"/>
      <c r="K2573" s="899"/>
      <c r="L2573" s="899"/>
      <c r="M2573" s="899"/>
      <c r="N2573" s="899"/>
      <c r="O2573" s="899"/>
      <c r="P2573" s="899"/>
      <c r="Q2573" s="573"/>
      <c r="R2573" s="573"/>
      <c r="S2573" s="573"/>
      <c r="T2573" s="573"/>
      <c r="U2573" s="573"/>
      <c r="V2573" s="573"/>
      <c r="W2573" s="573"/>
      <c r="X2573" s="573"/>
      <c r="Y2573" s="573"/>
      <c r="Z2573" s="573"/>
    </row>
    <row r="2574" spans="1:26" ht="18.75">
      <c r="A2574" s="677"/>
      <c r="B2574" s="677"/>
      <c r="C2574" s="677"/>
      <c r="D2574" s="896"/>
      <c r="E2574" s="677"/>
      <c r="F2574" s="677"/>
      <c r="G2574" s="677"/>
      <c r="H2574" s="897"/>
      <c r="I2574" s="898"/>
      <c r="J2574" s="898"/>
      <c r="K2574" s="899"/>
      <c r="L2574" s="899"/>
      <c r="M2574" s="899"/>
      <c r="N2574" s="899"/>
      <c r="O2574" s="899"/>
      <c r="P2574" s="899"/>
      <c r="Q2574" s="573"/>
      <c r="R2574" s="573"/>
      <c r="S2574" s="573"/>
      <c r="T2574" s="573"/>
      <c r="U2574" s="573"/>
      <c r="V2574" s="573"/>
      <c r="W2574" s="573"/>
      <c r="X2574" s="573"/>
      <c r="Y2574" s="573"/>
      <c r="Z2574" s="573"/>
    </row>
    <row r="2575" spans="1:26" ht="18.75">
      <c r="A2575" s="677"/>
      <c r="B2575" s="677"/>
      <c r="C2575" s="677"/>
      <c r="D2575" s="896"/>
      <c r="E2575" s="677"/>
      <c r="F2575" s="677"/>
      <c r="G2575" s="677"/>
      <c r="H2575" s="897"/>
      <c r="I2575" s="898"/>
      <c r="J2575" s="898"/>
      <c r="K2575" s="899"/>
      <c r="L2575" s="899"/>
      <c r="M2575" s="899"/>
      <c r="N2575" s="899"/>
      <c r="O2575" s="899"/>
      <c r="P2575" s="899"/>
      <c r="Q2575" s="573"/>
      <c r="R2575" s="573"/>
      <c r="S2575" s="573"/>
      <c r="T2575" s="573"/>
      <c r="U2575" s="573"/>
      <c r="V2575" s="573"/>
      <c r="W2575" s="573"/>
      <c r="X2575" s="573"/>
      <c r="Y2575" s="573"/>
      <c r="Z2575" s="573"/>
    </row>
    <row r="2576" spans="1:26" ht="18.75">
      <c r="A2576" s="677"/>
      <c r="B2576" s="677"/>
      <c r="C2576" s="677"/>
      <c r="D2576" s="896"/>
      <c r="E2576" s="677"/>
      <c r="F2576" s="677"/>
      <c r="G2576" s="677"/>
      <c r="H2576" s="897"/>
      <c r="I2576" s="898"/>
      <c r="J2576" s="898"/>
      <c r="K2576" s="899"/>
      <c r="L2576" s="899"/>
      <c r="M2576" s="899"/>
      <c r="N2576" s="899"/>
      <c r="O2576" s="899"/>
      <c r="P2576" s="899"/>
      <c r="Q2576" s="573"/>
      <c r="R2576" s="573"/>
      <c r="S2576" s="573"/>
      <c r="T2576" s="573"/>
      <c r="U2576" s="573"/>
      <c r="V2576" s="573"/>
      <c r="W2576" s="573"/>
      <c r="X2576" s="573"/>
      <c r="Y2576" s="573"/>
      <c r="Z2576" s="573"/>
    </row>
    <row r="2577" spans="1:26" ht="18.75">
      <c r="A2577" s="677"/>
      <c r="B2577" s="677"/>
      <c r="C2577" s="677"/>
      <c r="D2577" s="896"/>
      <c r="E2577" s="677"/>
      <c r="F2577" s="677"/>
      <c r="G2577" s="677"/>
      <c r="H2577" s="897"/>
      <c r="I2577" s="898"/>
      <c r="J2577" s="898"/>
      <c r="K2577" s="899"/>
      <c r="L2577" s="899"/>
      <c r="M2577" s="899"/>
      <c r="N2577" s="899"/>
      <c r="O2577" s="899"/>
      <c r="P2577" s="899"/>
      <c r="Q2577" s="573"/>
      <c r="R2577" s="573"/>
      <c r="S2577" s="573"/>
      <c r="T2577" s="573"/>
      <c r="U2577" s="573"/>
      <c r="V2577" s="573"/>
      <c r="W2577" s="573"/>
      <c r="X2577" s="573"/>
      <c r="Y2577" s="573"/>
      <c r="Z2577" s="573"/>
    </row>
    <row r="2578" spans="1:26" ht="18.75">
      <c r="A2578" s="677"/>
      <c r="B2578" s="677"/>
      <c r="C2578" s="677"/>
      <c r="D2578" s="896"/>
      <c r="E2578" s="677"/>
      <c r="F2578" s="677"/>
      <c r="G2578" s="677"/>
      <c r="H2578" s="897"/>
      <c r="I2578" s="898"/>
      <c r="J2578" s="898"/>
      <c r="K2578" s="899"/>
      <c r="L2578" s="899"/>
      <c r="M2578" s="899"/>
      <c r="N2578" s="899"/>
      <c r="O2578" s="899"/>
      <c r="P2578" s="899"/>
      <c r="Q2578" s="573"/>
      <c r="R2578" s="573"/>
      <c r="S2578" s="573"/>
      <c r="T2578" s="573"/>
      <c r="U2578" s="573"/>
      <c r="V2578" s="573"/>
      <c r="W2578" s="573"/>
      <c r="X2578" s="573"/>
      <c r="Y2578" s="573"/>
      <c r="Z2578" s="573"/>
    </row>
    <row r="2579" spans="1:26" ht="18.75">
      <c r="A2579" s="677"/>
      <c r="B2579" s="677"/>
      <c r="C2579" s="677"/>
      <c r="D2579" s="896"/>
      <c r="E2579" s="677"/>
      <c r="F2579" s="677"/>
      <c r="G2579" s="677"/>
      <c r="H2579" s="897"/>
      <c r="I2579" s="898"/>
      <c r="J2579" s="898"/>
      <c r="K2579" s="899"/>
      <c r="L2579" s="899"/>
      <c r="M2579" s="899"/>
      <c r="N2579" s="899"/>
      <c r="O2579" s="899"/>
      <c r="P2579" s="899"/>
      <c r="Q2579" s="573"/>
      <c r="R2579" s="573"/>
      <c r="S2579" s="573"/>
      <c r="T2579" s="573"/>
      <c r="U2579" s="573"/>
      <c r="V2579" s="573"/>
      <c r="W2579" s="573"/>
      <c r="X2579" s="573"/>
      <c r="Y2579" s="573"/>
      <c r="Z2579" s="573"/>
    </row>
    <row r="2580" spans="1:26" ht="18.75">
      <c r="A2580" s="677"/>
      <c r="B2580" s="677"/>
      <c r="C2580" s="677"/>
      <c r="D2580" s="896"/>
      <c r="E2580" s="677"/>
      <c r="F2580" s="677"/>
      <c r="G2580" s="677"/>
      <c r="H2580" s="897"/>
      <c r="I2580" s="898"/>
      <c r="J2580" s="898"/>
      <c r="K2580" s="899"/>
      <c r="L2580" s="899"/>
      <c r="M2580" s="899"/>
      <c r="N2580" s="899"/>
      <c r="O2580" s="899"/>
      <c r="P2580" s="899"/>
      <c r="Q2580" s="573"/>
      <c r="R2580" s="573"/>
      <c r="S2580" s="573"/>
      <c r="T2580" s="573"/>
      <c r="U2580" s="573"/>
      <c r="V2580" s="573"/>
      <c r="W2580" s="573"/>
      <c r="X2580" s="573"/>
      <c r="Y2580" s="573"/>
      <c r="Z2580" s="573"/>
    </row>
    <row r="2581" spans="1:26" ht="18.75">
      <c r="A2581" s="677"/>
      <c r="B2581" s="677"/>
      <c r="C2581" s="677"/>
      <c r="D2581" s="896"/>
      <c r="E2581" s="677"/>
      <c r="F2581" s="677"/>
      <c r="G2581" s="677"/>
      <c r="H2581" s="897"/>
      <c r="I2581" s="898"/>
      <c r="J2581" s="898"/>
      <c r="K2581" s="899"/>
      <c r="L2581" s="899"/>
      <c r="M2581" s="899"/>
      <c r="N2581" s="899"/>
      <c r="O2581" s="899"/>
      <c r="P2581" s="899"/>
      <c r="Q2581" s="573"/>
      <c r="R2581" s="573"/>
      <c r="S2581" s="573"/>
      <c r="T2581" s="573"/>
      <c r="U2581" s="573"/>
      <c r="V2581" s="573"/>
      <c r="W2581" s="573"/>
      <c r="X2581" s="573"/>
      <c r="Y2581" s="573"/>
      <c r="Z2581" s="573"/>
    </row>
    <row r="2582" spans="1:26" ht="18.75">
      <c r="A2582" s="677"/>
      <c r="B2582" s="677"/>
      <c r="C2582" s="677"/>
      <c r="D2582" s="896"/>
      <c r="E2582" s="677"/>
      <c r="F2582" s="677"/>
      <c r="G2582" s="677"/>
      <c r="H2582" s="897"/>
      <c r="I2582" s="898"/>
      <c r="J2582" s="898"/>
      <c r="K2582" s="899"/>
      <c r="L2582" s="899"/>
      <c r="M2582" s="899"/>
      <c r="N2582" s="899"/>
      <c r="O2582" s="899"/>
      <c r="P2582" s="899"/>
      <c r="Q2582" s="573"/>
      <c r="R2582" s="573"/>
      <c r="S2582" s="573"/>
      <c r="T2582" s="573"/>
      <c r="U2582" s="573"/>
      <c r="V2582" s="573"/>
      <c r="W2582" s="573"/>
      <c r="X2582" s="573"/>
      <c r="Y2582" s="573"/>
      <c r="Z2582" s="573"/>
    </row>
    <row r="2583" spans="1:26" ht="18.75">
      <c r="A2583" s="677"/>
      <c r="B2583" s="677"/>
      <c r="C2583" s="677"/>
      <c r="D2583" s="896"/>
      <c r="E2583" s="677"/>
      <c r="F2583" s="677"/>
      <c r="G2583" s="677"/>
      <c r="H2583" s="897"/>
      <c r="I2583" s="898"/>
      <c r="J2583" s="898"/>
      <c r="K2583" s="899"/>
      <c r="L2583" s="899"/>
      <c r="M2583" s="899"/>
      <c r="N2583" s="899"/>
      <c r="O2583" s="899"/>
      <c r="P2583" s="899"/>
      <c r="Q2583" s="573"/>
      <c r="R2583" s="573"/>
      <c r="S2583" s="573"/>
      <c r="T2583" s="573"/>
      <c r="U2583" s="573"/>
      <c r="V2583" s="573"/>
      <c r="W2583" s="573"/>
      <c r="X2583" s="573"/>
      <c r="Y2583" s="573"/>
      <c r="Z2583" s="573"/>
    </row>
    <row r="2584" spans="1:26" ht="18.75">
      <c r="A2584" s="677"/>
      <c r="B2584" s="677"/>
      <c r="C2584" s="677"/>
      <c r="D2584" s="896"/>
      <c r="E2584" s="677"/>
      <c r="F2584" s="677"/>
      <c r="G2584" s="677"/>
      <c r="H2584" s="897"/>
      <c r="I2584" s="898"/>
      <c r="J2584" s="898"/>
      <c r="K2584" s="899"/>
      <c r="L2584" s="899"/>
      <c r="M2584" s="899"/>
      <c r="N2584" s="899"/>
      <c r="O2584" s="899"/>
      <c r="P2584" s="899"/>
      <c r="Q2584" s="573"/>
      <c r="R2584" s="573"/>
      <c r="S2584" s="573"/>
      <c r="T2584" s="573"/>
      <c r="U2584" s="573"/>
      <c r="V2584" s="573"/>
      <c r="W2584" s="573"/>
      <c r="X2584" s="573"/>
      <c r="Y2584" s="573"/>
      <c r="Z2584" s="573"/>
    </row>
    <row r="2585" spans="1:26" ht="18.75">
      <c r="A2585" s="677"/>
      <c r="B2585" s="677"/>
      <c r="C2585" s="677"/>
      <c r="D2585" s="896"/>
      <c r="E2585" s="677"/>
      <c r="F2585" s="677"/>
      <c r="G2585" s="677"/>
      <c r="H2585" s="897"/>
      <c r="I2585" s="898"/>
      <c r="J2585" s="898"/>
      <c r="K2585" s="899"/>
      <c r="L2585" s="899"/>
      <c r="M2585" s="899"/>
      <c r="N2585" s="899"/>
      <c r="O2585" s="899"/>
      <c r="P2585" s="899"/>
      <c r="Q2585" s="573"/>
      <c r="R2585" s="573"/>
      <c r="S2585" s="573"/>
      <c r="T2585" s="573"/>
      <c r="U2585" s="573"/>
      <c r="V2585" s="573"/>
      <c r="W2585" s="573"/>
      <c r="X2585" s="573"/>
      <c r="Y2585" s="573"/>
      <c r="Z2585" s="573"/>
    </row>
    <row r="2586" spans="1:26" ht="18.75">
      <c r="A2586" s="677"/>
      <c r="B2586" s="677"/>
      <c r="C2586" s="677"/>
      <c r="D2586" s="896"/>
      <c r="E2586" s="677"/>
      <c r="F2586" s="677"/>
      <c r="G2586" s="677"/>
      <c r="H2586" s="897"/>
      <c r="I2586" s="898"/>
      <c r="J2586" s="898"/>
      <c r="K2586" s="899"/>
      <c r="L2586" s="899"/>
      <c r="M2586" s="899"/>
      <c r="N2586" s="899"/>
      <c r="O2586" s="899"/>
      <c r="P2586" s="899"/>
      <c r="Q2586" s="573"/>
      <c r="R2586" s="573"/>
      <c r="S2586" s="573"/>
      <c r="T2586" s="573"/>
      <c r="U2586" s="573"/>
      <c r="V2586" s="573"/>
      <c r="W2586" s="573"/>
      <c r="X2586" s="573"/>
      <c r="Y2586" s="573"/>
      <c r="Z2586" s="573"/>
    </row>
    <row r="2587" spans="1:26" ht="18.75">
      <c r="A2587" s="677"/>
      <c r="B2587" s="677"/>
      <c r="C2587" s="677"/>
      <c r="D2587" s="896"/>
      <c r="E2587" s="677"/>
      <c r="F2587" s="677"/>
      <c r="G2587" s="677"/>
      <c r="H2587" s="897"/>
      <c r="I2587" s="898"/>
      <c r="J2587" s="898"/>
      <c r="K2587" s="899"/>
      <c r="L2587" s="899"/>
      <c r="M2587" s="899"/>
      <c r="N2587" s="899"/>
      <c r="O2587" s="899"/>
      <c r="P2587" s="899"/>
      <c r="Q2587" s="573"/>
      <c r="R2587" s="573"/>
      <c r="S2587" s="573"/>
      <c r="T2587" s="573"/>
      <c r="U2587" s="573"/>
      <c r="V2587" s="573"/>
      <c r="W2587" s="573"/>
      <c r="X2587" s="573"/>
      <c r="Y2587" s="573"/>
      <c r="Z2587" s="573"/>
    </row>
    <row r="2588" spans="1:26" ht="18.75">
      <c r="A2588" s="677"/>
      <c r="B2588" s="677"/>
      <c r="C2588" s="677"/>
      <c r="D2588" s="896"/>
      <c r="E2588" s="677"/>
      <c r="F2588" s="677"/>
      <c r="G2588" s="677"/>
      <c r="H2588" s="897"/>
      <c r="I2588" s="898"/>
      <c r="J2588" s="898"/>
      <c r="K2588" s="899"/>
      <c r="L2588" s="899"/>
      <c r="M2588" s="899"/>
      <c r="N2588" s="899"/>
      <c r="O2588" s="899"/>
      <c r="P2588" s="899"/>
      <c r="Q2588" s="573"/>
      <c r="R2588" s="573"/>
      <c r="S2588" s="573"/>
      <c r="T2588" s="573"/>
      <c r="U2588" s="573"/>
      <c r="V2588" s="573"/>
      <c r="W2588" s="573"/>
      <c r="X2588" s="573"/>
      <c r="Y2588" s="573"/>
      <c r="Z2588" s="573"/>
    </row>
    <row r="2589" spans="1:26" ht="18.75">
      <c r="A2589" s="677"/>
      <c r="B2589" s="677"/>
      <c r="C2589" s="677"/>
      <c r="D2589" s="896"/>
      <c r="E2589" s="677"/>
      <c r="F2589" s="677"/>
      <c r="G2589" s="677"/>
      <c r="H2589" s="897"/>
      <c r="I2589" s="898"/>
      <c r="J2589" s="898"/>
      <c r="K2589" s="899"/>
      <c r="L2589" s="899"/>
      <c r="M2589" s="899"/>
      <c r="N2589" s="899"/>
      <c r="O2589" s="899"/>
      <c r="P2589" s="899"/>
      <c r="Q2589" s="573"/>
      <c r="R2589" s="573"/>
      <c r="S2589" s="573"/>
      <c r="T2589" s="573"/>
      <c r="U2589" s="573"/>
      <c r="V2589" s="573"/>
      <c r="W2589" s="573"/>
      <c r="X2589" s="573"/>
      <c r="Y2589" s="573"/>
      <c r="Z2589" s="573"/>
    </row>
    <row r="2590" spans="1:26" ht="18.75">
      <c r="A2590" s="677"/>
      <c r="B2590" s="677"/>
      <c r="C2590" s="677"/>
      <c r="D2590" s="896"/>
      <c r="E2590" s="677"/>
      <c r="F2590" s="677"/>
      <c r="G2590" s="677"/>
      <c r="H2590" s="897"/>
      <c r="I2590" s="898"/>
      <c r="J2590" s="898"/>
      <c r="K2590" s="899"/>
      <c r="L2590" s="899"/>
      <c r="M2590" s="899"/>
      <c r="N2590" s="899"/>
      <c r="O2590" s="899"/>
      <c r="P2590" s="899"/>
      <c r="Q2590" s="573"/>
      <c r="R2590" s="573"/>
      <c r="S2590" s="573"/>
      <c r="T2590" s="573"/>
      <c r="U2590" s="573"/>
      <c r="V2590" s="573"/>
      <c r="W2590" s="573"/>
      <c r="X2590" s="573"/>
      <c r="Y2590" s="573"/>
      <c r="Z2590" s="573"/>
    </row>
    <row r="2591" spans="1:26" ht="18.75">
      <c r="A2591" s="677"/>
      <c r="B2591" s="677"/>
      <c r="C2591" s="677"/>
      <c r="D2591" s="896"/>
      <c r="E2591" s="677"/>
      <c r="F2591" s="677"/>
      <c r="G2591" s="677"/>
      <c r="H2591" s="897"/>
      <c r="I2591" s="898"/>
      <c r="J2591" s="898"/>
      <c r="K2591" s="899"/>
      <c r="L2591" s="899"/>
      <c r="M2591" s="899"/>
      <c r="N2591" s="899"/>
      <c r="O2591" s="899"/>
      <c r="P2591" s="899"/>
      <c r="Q2591" s="573"/>
      <c r="R2591" s="573"/>
      <c r="S2591" s="573"/>
      <c r="T2591" s="573"/>
      <c r="U2591" s="573"/>
      <c r="V2591" s="573"/>
      <c r="W2591" s="573"/>
      <c r="X2591" s="573"/>
      <c r="Y2591" s="573"/>
      <c r="Z2591" s="573"/>
    </row>
    <row r="2592" spans="1:26" ht="18.75">
      <c r="A2592" s="677"/>
      <c r="B2592" s="677"/>
      <c r="C2592" s="677"/>
      <c r="D2592" s="896"/>
      <c r="E2592" s="677"/>
      <c r="F2592" s="677"/>
      <c r="G2592" s="677"/>
      <c r="H2592" s="897"/>
      <c r="I2592" s="898"/>
      <c r="J2592" s="898"/>
      <c r="K2592" s="899"/>
      <c r="L2592" s="899"/>
      <c r="M2592" s="899"/>
      <c r="N2592" s="899"/>
      <c r="O2592" s="899"/>
      <c r="P2592" s="899"/>
      <c r="Q2592" s="573"/>
      <c r="R2592" s="573"/>
      <c r="S2592" s="573"/>
      <c r="T2592" s="573"/>
      <c r="U2592" s="573"/>
      <c r="V2592" s="573"/>
      <c r="W2592" s="573"/>
      <c r="X2592" s="573"/>
      <c r="Y2592" s="573"/>
      <c r="Z2592" s="573"/>
    </row>
    <row r="2593" spans="1:26" ht="18.75">
      <c r="A2593" s="677"/>
      <c r="B2593" s="677"/>
      <c r="C2593" s="677"/>
      <c r="D2593" s="896"/>
      <c r="E2593" s="677"/>
      <c r="F2593" s="677"/>
      <c r="G2593" s="677"/>
      <c r="H2593" s="897"/>
      <c r="I2593" s="898"/>
      <c r="J2593" s="898"/>
      <c r="K2593" s="899"/>
      <c r="L2593" s="899"/>
      <c r="M2593" s="899"/>
      <c r="N2593" s="899"/>
      <c r="O2593" s="899"/>
      <c r="P2593" s="899"/>
      <c r="Q2593" s="573"/>
      <c r="R2593" s="573"/>
      <c r="S2593" s="573"/>
      <c r="T2593" s="573"/>
      <c r="U2593" s="573"/>
      <c r="V2593" s="573"/>
      <c r="W2593" s="573"/>
      <c r="X2593" s="573"/>
      <c r="Y2593" s="573"/>
      <c r="Z2593" s="573"/>
    </row>
    <row r="2594" spans="1:26" ht="18.75">
      <c r="A2594" s="677"/>
      <c r="B2594" s="677"/>
      <c r="C2594" s="677"/>
      <c r="D2594" s="896"/>
      <c r="E2594" s="677"/>
      <c r="F2594" s="677"/>
      <c r="G2594" s="677"/>
      <c r="H2594" s="897"/>
      <c r="I2594" s="898"/>
      <c r="J2594" s="898"/>
      <c r="K2594" s="899"/>
      <c r="L2594" s="899"/>
      <c r="M2594" s="899"/>
      <c r="N2594" s="899"/>
      <c r="O2594" s="899"/>
      <c r="P2594" s="899"/>
      <c r="Q2594" s="573"/>
      <c r="R2594" s="573"/>
      <c r="S2594" s="573"/>
      <c r="T2594" s="573"/>
      <c r="U2594" s="573"/>
      <c r="V2594" s="573"/>
      <c r="W2594" s="573"/>
      <c r="X2594" s="573"/>
      <c r="Y2594" s="573"/>
      <c r="Z2594" s="573"/>
    </row>
    <row r="2595" spans="1:26" ht="18.75">
      <c r="A2595" s="677"/>
      <c r="B2595" s="677"/>
      <c r="C2595" s="677"/>
      <c r="D2595" s="896"/>
      <c r="E2595" s="677"/>
      <c r="F2595" s="677"/>
      <c r="G2595" s="677"/>
      <c r="H2595" s="897"/>
      <c r="I2595" s="898"/>
      <c r="J2595" s="898"/>
      <c r="K2595" s="899"/>
      <c r="L2595" s="899"/>
      <c r="M2595" s="899"/>
      <c r="N2595" s="899"/>
      <c r="O2595" s="899"/>
      <c r="P2595" s="899"/>
      <c r="Q2595" s="573"/>
      <c r="R2595" s="573"/>
      <c r="S2595" s="573"/>
      <c r="T2595" s="573"/>
      <c r="U2595" s="573"/>
      <c r="V2595" s="573"/>
      <c r="W2595" s="573"/>
      <c r="X2595" s="573"/>
      <c r="Y2595" s="573"/>
      <c r="Z2595" s="573"/>
    </row>
    <row r="2596" spans="1:26" ht="18.75">
      <c r="A2596" s="677"/>
      <c r="B2596" s="677"/>
      <c r="C2596" s="677"/>
      <c r="D2596" s="896"/>
      <c r="E2596" s="677"/>
      <c r="F2596" s="677"/>
      <c r="G2596" s="677"/>
      <c r="H2596" s="897"/>
      <c r="I2596" s="898"/>
      <c r="J2596" s="898"/>
      <c r="K2596" s="899"/>
      <c r="L2596" s="899"/>
      <c r="M2596" s="899"/>
      <c r="N2596" s="899"/>
      <c r="O2596" s="899"/>
      <c r="P2596" s="899"/>
      <c r="Q2596" s="573"/>
      <c r="R2596" s="573"/>
      <c r="S2596" s="573"/>
      <c r="T2596" s="573"/>
      <c r="U2596" s="573"/>
      <c r="V2596" s="573"/>
      <c r="W2596" s="573"/>
      <c r="X2596" s="573"/>
      <c r="Y2596" s="573"/>
      <c r="Z2596" s="573"/>
    </row>
    <row r="2597" spans="1:26" ht="18.75">
      <c r="A2597" s="677"/>
      <c r="B2597" s="677"/>
      <c r="C2597" s="677"/>
      <c r="D2597" s="896"/>
      <c r="E2597" s="677"/>
      <c r="F2597" s="677"/>
      <c r="G2597" s="677"/>
      <c r="H2597" s="897"/>
      <c r="I2597" s="898"/>
      <c r="J2597" s="898"/>
      <c r="K2597" s="899"/>
      <c r="L2597" s="899"/>
      <c r="M2597" s="899"/>
      <c r="N2597" s="899"/>
      <c r="O2597" s="899"/>
      <c r="P2597" s="899"/>
      <c r="Q2597" s="573"/>
      <c r="R2597" s="573"/>
      <c r="S2597" s="573"/>
      <c r="T2597" s="573"/>
      <c r="U2597" s="573"/>
      <c r="V2597" s="573"/>
      <c r="W2597" s="573"/>
      <c r="X2597" s="573"/>
      <c r="Y2597" s="573"/>
      <c r="Z2597" s="573"/>
    </row>
    <row r="2598" spans="1:26" ht="18.75">
      <c r="A2598" s="677"/>
      <c r="B2598" s="677"/>
      <c r="C2598" s="677"/>
      <c r="D2598" s="896"/>
      <c r="E2598" s="677"/>
      <c r="F2598" s="677"/>
      <c r="G2598" s="677"/>
      <c r="H2598" s="897"/>
      <c r="I2598" s="898"/>
      <c r="J2598" s="898"/>
      <c r="K2598" s="899"/>
      <c r="L2598" s="899"/>
      <c r="M2598" s="899"/>
      <c r="N2598" s="899"/>
      <c r="O2598" s="899"/>
      <c r="P2598" s="899"/>
      <c r="Q2598" s="573"/>
      <c r="R2598" s="573"/>
      <c r="S2598" s="573"/>
      <c r="T2598" s="573"/>
      <c r="U2598" s="573"/>
      <c r="V2598" s="573"/>
      <c r="W2598" s="573"/>
      <c r="X2598" s="573"/>
      <c r="Y2598" s="573"/>
      <c r="Z2598" s="573"/>
    </row>
    <row r="2599" spans="1:26" ht="18.75">
      <c r="A2599" s="677"/>
      <c r="B2599" s="677"/>
      <c r="C2599" s="677"/>
      <c r="D2599" s="896"/>
      <c r="E2599" s="677"/>
      <c r="F2599" s="677"/>
      <c r="G2599" s="677"/>
      <c r="H2599" s="897"/>
      <c r="I2599" s="898"/>
      <c r="J2599" s="898"/>
      <c r="K2599" s="899"/>
      <c r="L2599" s="899"/>
      <c r="M2599" s="899"/>
      <c r="N2599" s="899"/>
      <c r="O2599" s="899"/>
      <c r="P2599" s="899"/>
      <c r="Q2599" s="573"/>
      <c r="R2599" s="573"/>
      <c r="S2599" s="573"/>
      <c r="T2599" s="573"/>
      <c r="U2599" s="573"/>
      <c r="V2599" s="573"/>
      <c r="W2599" s="573"/>
      <c r="X2599" s="573"/>
      <c r="Y2599" s="573"/>
      <c r="Z2599" s="573"/>
    </row>
    <row r="2600" spans="1:26" ht="18.75">
      <c r="A2600" s="677"/>
      <c r="B2600" s="677"/>
      <c r="C2600" s="677"/>
      <c r="D2600" s="896"/>
      <c r="E2600" s="677"/>
      <c r="F2600" s="677"/>
      <c r="G2600" s="677"/>
      <c r="H2600" s="897"/>
      <c r="I2600" s="898"/>
      <c r="J2600" s="898"/>
      <c r="K2600" s="899"/>
      <c r="L2600" s="899"/>
      <c r="M2600" s="899"/>
      <c r="N2600" s="899"/>
      <c r="O2600" s="899"/>
      <c r="P2600" s="899"/>
      <c r="Q2600" s="573"/>
      <c r="R2600" s="573"/>
      <c r="S2600" s="573"/>
      <c r="T2600" s="573"/>
      <c r="U2600" s="573"/>
      <c r="V2600" s="573"/>
      <c r="W2600" s="573"/>
      <c r="X2600" s="573"/>
      <c r="Y2600" s="573"/>
      <c r="Z2600" s="573"/>
    </row>
    <row r="2601" spans="1:26" ht="18.75">
      <c r="A2601" s="677"/>
      <c r="B2601" s="677"/>
      <c r="C2601" s="677"/>
      <c r="D2601" s="896"/>
      <c r="E2601" s="677"/>
      <c r="F2601" s="677"/>
      <c r="G2601" s="677"/>
      <c r="H2601" s="897"/>
      <c r="I2601" s="898"/>
      <c r="J2601" s="898"/>
      <c r="K2601" s="899"/>
      <c r="L2601" s="899"/>
      <c r="M2601" s="899"/>
      <c r="N2601" s="899"/>
      <c r="O2601" s="899"/>
      <c r="P2601" s="899"/>
      <c r="Q2601" s="573"/>
      <c r="R2601" s="573"/>
      <c r="S2601" s="573"/>
      <c r="T2601" s="573"/>
      <c r="U2601" s="573"/>
      <c r="V2601" s="573"/>
      <c r="W2601" s="573"/>
      <c r="X2601" s="573"/>
      <c r="Y2601" s="573"/>
      <c r="Z2601" s="573"/>
    </row>
    <row r="2602" spans="1:26" ht="18.75">
      <c r="A2602" s="677"/>
      <c r="B2602" s="677"/>
      <c r="C2602" s="677"/>
      <c r="D2602" s="896"/>
      <c r="E2602" s="677"/>
      <c r="F2602" s="677"/>
      <c r="G2602" s="677"/>
      <c r="H2602" s="897"/>
      <c r="I2602" s="898"/>
      <c r="J2602" s="898"/>
      <c r="K2602" s="899"/>
      <c r="L2602" s="899"/>
      <c r="M2602" s="899"/>
      <c r="N2602" s="899"/>
      <c r="O2602" s="899"/>
      <c r="P2602" s="899"/>
      <c r="Q2602" s="573"/>
      <c r="R2602" s="573"/>
      <c r="S2602" s="573"/>
      <c r="T2602" s="573"/>
      <c r="U2602" s="573"/>
      <c r="V2602" s="573"/>
      <c r="W2602" s="573"/>
      <c r="X2602" s="573"/>
      <c r="Y2602" s="573"/>
      <c r="Z2602" s="573"/>
    </row>
    <row r="2603" spans="1:26" ht="18.75">
      <c r="A2603" s="677"/>
      <c r="B2603" s="677"/>
      <c r="C2603" s="677"/>
      <c r="D2603" s="896"/>
      <c r="E2603" s="677"/>
      <c r="F2603" s="677"/>
      <c r="G2603" s="677"/>
      <c r="H2603" s="897"/>
      <c r="I2603" s="898"/>
      <c r="J2603" s="898"/>
      <c r="K2603" s="899"/>
      <c r="L2603" s="899"/>
      <c r="M2603" s="899"/>
      <c r="N2603" s="899"/>
      <c r="O2603" s="899"/>
      <c r="P2603" s="899"/>
      <c r="Q2603" s="573"/>
      <c r="R2603" s="573"/>
      <c r="S2603" s="573"/>
      <c r="T2603" s="573"/>
      <c r="U2603" s="573"/>
      <c r="V2603" s="573"/>
      <c r="W2603" s="573"/>
      <c r="X2603" s="573"/>
      <c r="Y2603" s="573"/>
      <c r="Z2603" s="573"/>
    </row>
    <row r="2604" spans="1:26" ht="18.75">
      <c r="A2604" s="677"/>
      <c r="B2604" s="677"/>
      <c r="C2604" s="677"/>
      <c r="D2604" s="896"/>
      <c r="E2604" s="677"/>
      <c r="F2604" s="677"/>
      <c r="G2604" s="677"/>
      <c r="H2604" s="897"/>
      <c r="I2604" s="898"/>
      <c r="J2604" s="898"/>
      <c r="K2604" s="899"/>
      <c r="L2604" s="899"/>
      <c r="M2604" s="899"/>
      <c r="N2604" s="899"/>
      <c r="O2604" s="899"/>
      <c r="P2604" s="899"/>
      <c r="Q2604" s="573"/>
      <c r="R2604" s="573"/>
      <c r="S2604" s="573"/>
      <c r="T2604" s="573"/>
      <c r="U2604" s="573"/>
      <c r="V2604" s="573"/>
      <c r="W2604" s="573"/>
      <c r="X2604" s="573"/>
      <c r="Y2604" s="573"/>
      <c r="Z2604" s="573"/>
    </row>
    <row r="2605" spans="1:26" ht="18.75">
      <c r="A2605" s="677"/>
      <c r="B2605" s="677"/>
      <c r="C2605" s="677"/>
      <c r="D2605" s="896"/>
      <c r="E2605" s="677"/>
      <c r="F2605" s="677"/>
      <c r="G2605" s="677"/>
      <c r="H2605" s="897"/>
      <c r="I2605" s="898"/>
      <c r="J2605" s="898"/>
      <c r="K2605" s="899"/>
      <c r="L2605" s="899"/>
      <c r="M2605" s="899"/>
      <c r="N2605" s="899"/>
      <c r="O2605" s="899"/>
      <c r="P2605" s="899"/>
      <c r="Q2605" s="573"/>
      <c r="R2605" s="573"/>
      <c r="S2605" s="573"/>
      <c r="T2605" s="573"/>
      <c r="U2605" s="573"/>
      <c r="V2605" s="573"/>
      <c r="W2605" s="573"/>
      <c r="X2605" s="573"/>
      <c r="Y2605" s="573"/>
      <c r="Z2605" s="573"/>
    </row>
    <row r="2606" spans="1:26" ht="18.75">
      <c r="A2606" s="677"/>
      <c r="B2606" s="677"/>
      <c r="C2606" s="677"/>
      <c r="D2606" s="896"/>
      <c r="E2606" s="677"/>
      <c r="F2606" s="677"/>
      <c r="G2606" s="677"/>
      <c r="H2606" s="897"/>
      <c r="I2606" s="898"/>
      <c r="J2606" s="898"/>
      <c r="K2606" s="899"/>
      <c r="L2606" s="899"/>
      <c r="M2606" s="899"/>
      <c r="N2606" s="899"/>
      <c r="O2606" s="899"/>
      <c r="P2606" s="899"/>
      <c r="Q2606" s="573"/>
      <c r="R2606" s="573"/>
      <c r="S2606" s="573"/>
      <c r="T2606" s="573"/>
      <c r="U2606" s="573"/>
      <c r="V2606" s="573"/>
      <c r="W2606" s="573"/>
      <c r="X2606" s="573"/>
      <c r="Y2606" s="573"/>
      <c r="Z2606" s="573"/>
    </row>
    <row r="2607" spans="1:26" ht="18.75">
      <c r="A2607" s="677"/>
      <c r="B2607" s="677"/>
      <c r="C2607" s="677"/>
      <c r="D2607" s="896"/>
      <c r="E2607" s="677"/>
      <c r="F2607" s="677"/>
      <c r="G2607" s="677"/>
      <c r="H2607" s="897"/>
      <c r="I2607" s="898"/>
      <c r="J2607" s="898"/>
      <c r="K2607" s="899"/>
      <c r="L2607" s="899"/>
      <c r="M2607" s="899"/>
      <c r="N2607" s="899"/>
      <c r="O2607" s="899"/>
      <c r="P2607" s="899"/>
      <c r="Q2607" s="573"/>
      <c r="R2607" s="573"/>
      <c r="S2607" s="573"/>
      <c r="T2607" s="573"/>
      <c r="U2607" s="573"/>
      <c r="V2607" s="573"/>
      <c r="W2607" s="573"/>
      <c r="X2607" s="573"/>
      <c r="Y2607" s="573"/>
      <c r="Z2607" s="573"/>
    </row>
    <row r="2608" spans="1:26" ht="18.75">
      <c r="A2608" s="677"/>
      <c r="B2608" s="677"/>
      <c r="C2608" s="677"/>
      <c r="D2608" s="896"/>
      <c r="E2608" s="677"/>
      <c r="F2608" s="677"/>
      <c r="G2608" s="677"/>
      <c r="H2608" s="897"/>
      <c r="I2608" s="898"/>
      <c r="J2608" s="898"/>
      <c r="K2608" s="899"/>
      <c r="L2608" s="899"/>
      <c r="M2608" s="899"/>
      <c r="N2608" s="899"/>
      <c r="O2608" s="899"/>
      <c r="P2608" s="899"/>
      <c r="Q2608" s="573"/>
      <c r="R2608" s="573"/>
      <c r="S2608" s="573"/>
      <c r="T2608" s="573"/>
      <c r="U2608" s="573"/>
      <c r="V2608" s="573"/>
      <c r="W2608" s="573"/>
      <c r="X2608" s="573"/>
      <c r="Y2608" s="573"/>
      <c r="Z2608" s="573"/>
    </row>
    <row r="2609" spans="1:26" ht="18.75">
      <c r="A2609" s="677"/>
      <c r="B2609" s="677"/>
      <c r="C2609" s="677"/>
      <c r="D2609" s="896"/>
      <c r="E2609" s="677"/>
      <c r="F2609" s="677"/>
      <c r="G2609" s="677"/>
      <c r="H2609" s="897"/>
      <c r="I2609" s="898"/>
      <c r="J2609" s="898"/>
      <c r="K2609" s="899"/>
      <c r="L2609" s="899"/>
      <c r="M2609" s="899"/>
      <c r="N2609" s="899"/>
      <c r="O2609" s="899"/>
      <c r="P2609" s="899"/>
      <c r="Q2609" s="573"/>
      <c r="R2609" s="573"/>
      <c r="S2609" s="573"/>
      <c r="T2609" s="573"/>
      <c r="U2609" s="573"/>
      <c r="V2609" s="573"/>
      <c r="W2609" s="573"/>
      <c r="X2609" s="573"/>
      <c r="Y2609" s="573"/>
      <c r="Z2609" s="573"/>
    </row>
    <row r="2610" spans="1:26" ht="18.75">
      <c r="A2610" s="677"/>
      <c r="B2610" s="677"/>
      <c r="C2610" s="677"/>
      <c r="D2610" s="896"/>
      <c r="E2610" s="677"/>
      <c r="F2610" s="677"/>
      <c r="G2610" s="677"/>
      <c r="H2610" s="897"/>
      <c r="I2610" s="898"/>
      <c r="J2610" s="898"/>
      <c r="K2610" s="899"/>
      <c r="L2610" s="899"/>
      <c r="M2610" s="899"/>
      <c r="N2610" s="899"/>
      <c r="O2610" s="899"/>
      <c r="P2610" s="899"/>
      <c r="Q2610" s="573"/>
      <c r="R2610" s="573"/>
      <c r="S2610" s="573"/>
      <c r="T2610" s="573"/>
      <c r="U2610" s="573"/>
      <c r="V2610" s="573"/>
      <c r="W2610" s="573"/>
      <c r="X2610" s="573"/>
      <c r="Y2610" s="573"/>
      <c r="Z2610" s="573"/>
    </row>
    <row r="2611" spans="1:26" ht="18.75">
      <c r="A2611" s="677"/>
      <c r="B2611" s="677"/>
      <c r="C2611" s="677"/>
      <c r="D2611" s="896"/>
      <c r="E2611" s="677"/>
      <c r="F2611" s="677"/>
      <c r="G2611" s="677"/>
      <c r="H2611" s="897"/>
      <c r="I2611" s="898"/>
      <c r="J2611" s="898"/>
      <c r="K2611" s="899"/>
      <c r="L2611" s="899"/>
      <c r="M2611" s="899"/>
      <c r="N2611" s="899"/>
      <c r="O2611" s="899"/>
      <c r="P2611" s="899"/>
      <c r="Q2611" s="573"/>
      <c r="R2611" s="573"/>
      <c r="S2611" s="573"/>
      <c r="T2611" s="573"/>
      <c r="U2611" s="573"/>
      <c r="V2611" s="573"/>
      <c r="W2611" s="573"/>
      <c r="X2611" s="573"/>
      <c r="Y2611" s="573"/>
      <c r="Z2611" s="573"/>
    </row>
    <row r="2612" spans="1:26" ht="18.75">
      <c r="A2612" s="677"/>
      <c r="B2612" s="677"/>
      <c r="C2612" s="677"/>
      <c r="D2612" s="896"/>
      <c r="E2612" s="677"/>
      <c r="F2612" s="677"/>
      <c r="G2612" s="677"/>
      <c r="H2612" s="897"/>
      <c r="I2612" s="898"/>
      <c r="J2612" s="898"/>
      <c r="K2612" s="899"/>
      <c r="L2612" s="899"/>
      <c r="M2612" s="899"/>
      <c r="N2612" s="899"/>
      <c r="O2612" s="899"/>
      <c r="P2612" s="899"/>
      <c r="Q2612" s="573"/>
      <c r="R2612" s="573"/>
      <c r="S2612" s="573"/>
      <c r="T2612" s="573"/>
      <c r="U2612" s="573"/>
      <c r="V2612" s="573"/>
      <c r="W2612" s="573"/>
      <c r="X2612" s="573"/>
      <c r="Y2612" s="573"/>
      <c r="Z2612" s="573"/>
    </row>
    <row r="2613" spans="1:26" ht="18.75">
      <c r="A2613" s="677"/>
      <c r="B2613" s="677"/>
      <c r="C2613" s="677"/>
      <c r="D2613" s="896"/>
      <c r="E2613" s="677"/>
      <c r="F2613" s="677"/>
      <c r="G2613" s="677"/>
      <c r="H2613" s="897"/>
      <c r="I2613" s="898"/>
      <c r="J2613" s="898"/>
      <c r="K2613" s="899"/>
      <c r="L2613" s="899"/>
      <c r="M2613" s="899"/>
      <c r="N2613" s="899"/>
      <c r="O2613" s="899"/>
      <c r="P2613" s="899"/>
      <c r="Q2613" s="573"/>
      <c r="R2613" s="573"/>
      <c r="S2613" s="573"/>
      <c r="T2613" s="573"/>
      <c r="U2613" s="573"/>
      <c r="V2613" s="573"/>
      <c r="W2613" s="573"/>
      <c r="X2613" s="573"/>
      <c r="Y2613" s="573"/>
      <c r="Z2613" s="573"/>
    </row>
    <row r="2614" spans="1:26" ht="18.75">
      <c r="A2614" s="677"/>
      <c r="B2614" s="677"/>
      <c r="C2614" s="677"/>
      <c r="D2614" s="896"/>
      <c r="E2614" s="677"/>
      <c r="F2614" s="677"/>
      <c r="G2614" s="677"/>
      <c r="H2614" s="897"/>
      <c r="I2614" s="898"/>
      <c r="J2614" s="898"/>
      <c r="K2614" s="899"/>
      <c r="L2614" s="899"/>
      <c r="M2614" s="899"/>
      <c r="N2614" s="899"/>
      <c r="O2614" s="899"/>
      <c r="P2614" s="899"/>
      <c r="Q2614" s="573"/>
      <c r="R2614" s="573"/>
      <c r="S2614" s="573"/>
      <c r="T2614" s="573"/>
      <c r="U2614" s="573"/>
      <c r="V2614" s="573"/>
      <c r="W2614" s="573"/>
      <c r="X2614" s="573"/>
      <c r="Y2614" s="573"/>
      <c r="Z2614" s="573"/>
    </row>
    <row r="2615" spans="1:26" ht="18.75">
      <c r="A2615" s="677"/>
      <c r="B2615" s="677"/>
      <c r="C2615" s="677"/>
      <c r="D2615" s="896"/>
      <c r="E2615" s="677"/>
      <c r="F2615" s="677"/>
      <c r="G2615" s="677"/>
      <c r="H2615" s="897"/>
      <c r="I2615" s="898"/>
      <c r="J2615" s="898"/>
      <c r="K2615" s="899"/>
      <c r="L2615" s="899"/>
      <c r="M2615" s="899"/>
      <c r="N2615" s="899"/>
      <c r="O2615" s="899"/>
      <c r="P2615" s="899"/>
      <c r="Q2615" s="573"/>
      <c r="R2615" s="573"/>
      <c r="S2615" s="573"/>
      <c r="T2615" s="573"/>
      <c r="U2615" s="573"/>
      <c r="V2615" s="573"/>
      <c r="W2615" s="573"/>
      <c r="X2615" s="573"/>
      <c r="Y2615" s="573"/>
      <c r="Z2615" s="573"/>
    </row>
    <row r="2616" spans="1:26" ht="18.75">
      <c r="A2616" s="677"/>
      <c r="B2616" s="677"/>
      <c r="C2616" s="677"/>
      <c r="D2616" s="896"/>
      <c r="E2616" s="677"/>
      <c r="F2616" s="677"/>
      <c r="G2616" s="677"/>
      <c r="H2616" s="897"/>
      <c r="I2616" s="898"/>
      <c r="J2616" s="898"/>
      <c r="K2616" s="899"/>
      <c r="L2616" s="899"/>
      <c r="M2616" s="899"/>
      <c r="N2616" s="899"/>
      <c r="O2616" s="899"/>
      <c r="P2616" s="899"/>
      <c r="Q2616" s="573"/>
      <c r="R2616" s="573"/>
      <c r="S2616" s="573"/>
      <c r="T2616" s="573"/>
      <c r="U2616" s="573"/>
      <c r="V2616" s="573"/>
      <c r="W2616" s="573"/>
      <c r="X2616" s="573"/>
      <c r="Y2616" s="573"/>
      <c r="Z2616" s="573"/>
    </row>
    <row r="2617" spans="1:26" ht="18.75">
      <c r="A2617" s="677"/>
      <c r="B2617" s="677"/>
      <c r="C2617" s="677"/>
      <c r="D2617" s="896"/>
      <c r="E2617" s="677"/>
      <c r="F2617" s="677"/>
      <c r="G2617" s="677"/>
      <c r="H2617" s="897"/>
      <c r="I2617" s="898"/>
      <c r="J2617" s="898"/>
      <c r="K2617" s="899"/>
      <c r="L2617" s="899"/>
      <c r="M2617" s="899"/>
      <c r="N2617" s="899"/>
      <c r="O2617" s="899"/>
      <c r="P2617" s="899"/>
      <c r="Q2617" s="573"/>
      <c r="R2617" s="573"/>
      <c r="S2617" s="573"/>
      <c r="T2617" s="573"/>
      <c r="U2617" s="573"/>
      <c r="V2617" s="573"/>
      <c r="W2617" s="573"/>
      <c r="X2617" s="573"/>
      <c r="Y2617" s="573"/>
      <c r="Z2617" s="573"/>
    </row>
    <row r="2618" spans="1:26" ht="18.75">
      <c r="A2618" s="677"/>
      <c r="B2618" s="677"/>
      <c r="C2618" s="677"/>
      <c r="D2618" s="896"/>
      <c r="E2618" s="677"/>
      <c r="F2618" s="677"/>
      <c r="G2618" s="677"/>
      <c r="H2618" s="897"/>
      <c r="I2618" s="898"/>
      <c r="J2618" s="898"/>
      <c r="K2618" s="899"/>
      <c r="L2618" s="899"/>
      <c r="M2618" s="899"/>
      <c r="N2618" s="899"/>
      <c r="O2618" s="899"/>
      <c r="P2618" s="899"/>
      <c r="Q2618" s="573"/>
      <c r="R2618" s="573"/>
      <c r="S2618" s="573"/>
      <c r="T2618" s="573"/>
      <c r="U2618" s="573"/>
      <c r="V2618" s="573"/>
      <c r="W2618" s="573"/>
      <c r="X2618" s="573"/>
      <c r="Y2618" s="573"/>
      <c r="Z2618" s="573"/>
    </row>
    <row r="2619" spans="1:26" ht="18.75">
      <c r="A2619" s="677"/>
      <c r="B2619" s="677"/>
      <c r="C2619" s="677"/>
      <c r="D2619" s="896"/>
      <c r="E2619" s="677"/>
      <c r="F2619" s="677"/>
      <c r="G2619" s="677"/>
      <c r="H2619" s="897"/>
      <c r="I2619" s="898"/>
      <c r="J2619" s="898"/>
      <c r="K2619" s="899"/>
      <c r="L2619" s="899"/>
      <c r="M2619" s="899"/>
      <c r="N2619" s="899"/>
      <c r="O2619" s="899"/>
      <c r="P2619" s="899"/>
      <c r="Q2619" s="573"/>
      <c r="R2619" s="573"/>
      <c r="S2619" s="573"/>
      <c r="T2619" s="573"/>
      <c r="U2619" s="573"/>
      <c r="V2619" s="573"/>
      <c r="W2619" s="573"/>
      <c r="X2619" s="573"/>
      <c r="Y2619" s="573"/>
      <c r="Z2619" s="573"/>
    </row>
    <row r="2620" spans="1:26" ht="18.75">
      <c r="A2620" s="677"/>
      <c r="B2620" s="677"/>
      <c r="C2620" s="677"/>
      <c r="D2620" s="896"/>
      <c r="E2620" s="677"/>
      <c r="F2620" s="677"/>
      <c r="G2620" s="677"/>
      <c r="H2620" s="897"/>
      <c r="I2620" s="898"/>
      <c r="J2620" s="898"/>
      <c r="K2620" s="899"/>
      <c r="L2620" s="899"/>
      <c r="M2620" s="899"/>
      <c r="N2620" s="899"/>
      <c r="O2620" s="899"/>
      <c r="P2620" s="899"/>
      <c r="Q2620" s="573"/>
      <c r="R2620" s="573"/>
      <c r="S2620" s="573"/>
      <c r="T2620" s="573"/>
      <c r="U2620" s="573"/>
      <c r="V2620" s="573"/>
      <c r="W2620" s="573"/>
      <c r="X2620" s="573"/>
      <c r="Y2620" s="573"/>
      <c r="Z2620" s="573"/>
    </row>
    <row r="2621" spans="1:26" ht="18.75">
      <c r="A2621" s="677"/>
      <c r="B2621" s="677"/>
      <c r="C2621" s="677"/>
      <c r="D2621" s="896"/>
      <c r="E2621" s="677"/>
      <c r="F2621" s="677"/>
      <c r="G2621" s="677"/>
      <c r="H2621" s="897"/>
      <c r="I2621" s="898"/>
      <c r="J2621" s="898"/>
      <c r="K2621" s="899"/>
      <c r="L2621" s="899"/>
      <c r="M2621" s="899"/>
      <c r="N2621" s="899"/>
      <c r="O2621" s="899"/>
      <c r="P2621" s="899"/>
      <c r="Q2621" s="573"/>
      <c r="R2621" s="573"/>
      <c r="S2621" s="573"/>
      <c r="T2621" s="573"/>
      <c r="U2621" s="573"/>
      <c r="V2621" s="573"/>
      <c r="W2621" s="573"/>
      <c r="X2621" s="573"/>
      <c r="Y2621" s="573"/>
      <c r="Z2621" s="573"/>
    </row>
    <row r="2622" spans="1:26" ht="18.75">
      <c r="A2622" s="677"/>
      <c r="B2622" s="677"/>
      <c r="C2622" s="677"/>
      <c r="D2622" s="896"/>
      <c r="E2622" s="677"/>
      <c r="F2622" s="677"/>
      <c r="G2622" s="677"/>
      <c r="H2622" s="897"/>
      <c r="I2622" s="898"/>
      <c r="J2622" s="898"/>
      <c r="K2622" s="899"/>
      <c r="L2622" s="899"/>
      <c r="M2622" s="899"/>
      <c r="N2622" s="899"/>
      <c r="O2622" s="899"/>
      <c r="P2622" s="899"/>
      <c r="Q2622" s="573"/>
      <c r="R2622" s="573"/>
      <c r="S2622" s="573"/>
      <c r="T2622" s="573"/>
      <c r="U2622" s="573"/>
      <c r="V2622" s="573"/>
      <c r="W2622" s="573"/>
      <c r="X2622" s="573"/>
      <c r="Y2622" s="573"/>
      <c r="Z2622" s="573"/>
    </row>
    <row r="2623" spans="1:26" ht="18.75">
      <c r="A2623" s="677"/>
      <c r="B2623" s="677"/>
      <c r="C2623" s="677"/>
      <c r="D2623" s="896"/>
      <c r="E2623" s="677"/>
      <c r="F2623" s="677"/>
      <c r="G2623" s="677"/>
      <c r="H2623" s="897"/>
      <c r="I2623" s="898"/>
      <c r="J2623" s="898"/>
      <c r="K2623" s="899"/>
      <c r="L2623" s="899"/>
      <c r="M2623" s="899"/>
      <c r="N2623" s="899"/>
      <c r="O2623" s="899"/>
      <c r="P2623" s="899"/>
      <c r="Q2623" s="573"/>
      <c r="R2623" s="573"/>
      <c r="S2623" s="573"/>
      <c r="T2623" s="573"/>
      <c r="U2623" s="573"/>
      <c r="V2623" s="573"/>
      <c r="W2623" s="573"/>
      <c r="X2623" s="573"/>
      <c r="Y2623" s="573"/>
      <c r="Z2623" s="573"/>
    </row>
    <row r="2624" spans="1:26" ht="18.75">
      <c r="A2624" s="677"/>
      <c r="B2624" s="677"/>
      <c r="C2624" s="677"/>
      <c r="D2624" s="896"/>
      <c r="E2624" s="677"/>
      <c r="F2624" s="677"/>
      <c r="G2624" s="677"/>
      <c r="H2624" s="897"/>
      <c r="I2624" s="898"/>
      <c r="J2624" s="898"/>
      <c r="K2624" s="899"/>
      <c r="L2624" s="899"/>
      <c r="M2624" s="899"/>
      <c r="N2624" s="899"/>
      <c r="O2624" s="899"/>
      <c r="P2624" s="899"/>
      <c r="Q2624" s="573"/>
      <c r="R2624" s="573"/>
      <c r="S2624" s="573"/>
      <c r="T2624" s="573"/>
      <c r="U2624" s="573"/>
      <c r="V2624" s="573"/>
      <c r="W2624" s="573"/>
      <c r="X2624" s="573"/>
      <c r="Y2624" s="573"/>
      <c r="Z2624" s="573"/>
    </row>
    <row r="2625" spans="1:26" ht="18.75">
      <c r="A2625" s="677"/>
      <c r="B2625" s="677"/>
      <c r="C2625" s="677"/>
      <c r="D2625" s="896"/>
      <c r="E2625" s="677"/>
      <c r="F2625" s="677"/>
      <c r="G2625" s="677"/>
      <c r="H2625" s="897"/>
      <c r="I2625" s="898"/>
      <c r="J2625" s="898"/>
      <c r="K2625" s="899"/>
      <c r="L2625" s="899"/>
      <c r="M2625" s="899"/>
      <c r="N2625" s="899"/>
      <c r="O2625" s="899"/>
      <c r="P2625" s="899"/>
      <c r="Q2625" s="573"/>
      <c r="R2625" s="573"/>
      <c r="S2625" s="573"/>
      <c r="T2625" s="573"/>
      <c r="U2625" s="573"/>
      <c r="V2625" s="573"/>
      <c r="W2625" s="573"/>
      <c r="X2625" s="573"/>
      <c r="Y2625" s="573"/>
      <c r="Z2625" s="573"/>
    </row>
    <row r="2626" spans="1:26" ht="18.75">
      <c r="A2626" s="677"/>
      <c r="B2626" s="677"/>
      <c r="C2626" s="677"/>
      <c r="D2626" s="896"/>
      <c r="E2626" s="677"/>
      <c r="F2626" s="677"/>
      <c r="G2626" s="677"/>
      <c r="H2626" s="897"/>
      <c r="I2626" s="898"/>
      <c r="J2626" s="898"/>
      <c r="K2626" s="899"/>
      <c r="L2626" s="899"/>
      <c r="M2626" s="899"/>
      <c r="N2626" s="899"/>
      <c r="O2626" s="899"/>
      <c r="P2626" s="899"/>
      <c r="Q2626" s="573"/>
      <c r="R2626" s="573"/>
      <c r="S2626" s="573"/>
      <c r="T2626" s="573"/>
      <c r="U2626" s="573"/>
      <c r="V2626" s="573"/>
      <c r="W2626" s="573"/>
      <c r="X2626" s="573"/>
      <c r="Y2626" s="573"/>
      <c r="Z2626" s="573"/>
    </row>
    <row r="2627" spans="1:26" ht="18.75">
      <c r="A2627" s="677"/>
      <c r="B2627" s="677"/>
      <c r="C2627" s="677"/>
      <c r="D2627" s="896"/>
      <c r="E2627" s="677"/>
      <c r="F2627" s="677"/>
      <c r="G2627" s="677"/>
      <c r="H2627" s="897"/>
      <c r="I2627" s="898"/>
      <c r="J2627" s="898"/>
      <c r="K2627" s="899"/>
      <c r="L2627" s="899"/>
      <c r="M2627" s="899"/>
      <c r="N2627" s="899"/>
      <c r="O2627" s="899"/>
      <c r="P2627" s="899"/>
      <c r="Q2627" s="573"/>
      <c r="R2627" s="573"/>
      <c r="S2627" s="573"/>
      <c r="T2627" s="573"/>
      <c r="U2627" s="573"/>
      <c r="V2627" s="573"/>
      <c r="W2627" s="573"/>
      <c r="X2627" s="573"/>
      <c r="Y2627" s="573"/>
      <c r="Z2627" s="573"/>
    </row>
    <row r="2628" spans="1:26" ht="18.75">
      <c r="A2628" s="677"/>
      <c r="B2628" s="677"/>
      <c r="C2628" s="677"/>
      <c r="D2628" s="896"/>
      <c r="E2628" s="677"/>
      <c r="F2628" s="677"/>
      <c r="G2628" s="677"/>
      <c r="H2628" s="897"/>
      <c r="I2628" s="898"/>
      <c r="J2628" s="898"/>
      <c r="K2628" s="899"/>
      <c r="L2628" s="899"/>
      <c r="M2628" s="899"/>
      <c r="N2628" s="899"/>
      <c r="O2628" s="899"/>
      <c r="P2628" s="899"/>
      <c r="Q2628" s="573"/>
      <c r="R2628" s="573"/>
      <c r="S2628" s="573"/>
      <c r="T2628" s="573"/>
      <c r="U2628" s="573"/>
      <c r="V2628" s="573"/>
      <c r="W2628" s="573"/>
      <c r="X2628" s="573"/>
      <c r="Y2628" s="573"/>
      <c r="Z2628" s="573"/>
    </row>
    <row r="2629" spans="1:26" ht="18.75">
      <c r="A2629" s="677"/>
      <c r="B2629" s="677"/>
      <c r="C2629" s="677"/>
      <c r="D2629" s="896"/>
      <c r="E2629" s="677"/>
      <c r="F2629" s="677"/>
      <c r="G2629" s="677"/>
      <c r="H2629" s="897"/>
      <c r="I2629" s="898"/>
      <c r="J2629" s="898"/>
      <c r="K2629" s="899"/>
      <c r="L2629" s="899"/>
      <c r="M2629" s="899"/>
      <c r="N2629" s="899"/>
      <c r="O2629" s="899"/>
      <c r="P2629" s="899"/>
      <c r="Q2629" s="573"/>
      <c r="R2629" s="573"/>
      <c r="S2629" s="573"/>
      <c r="T2629" s="573"/>
      <c r="U2629" s="573"/>
      <c r="V2629" s="573"/>
      <c r="W2629" s="573"/>
      <c r="X2629" s="573"/>
      <c r="Y2629" s="573"/>
      <c r="Z2629" s="573"/>
    </row>
    <row r="2630" spans="1:26" ht="18.75">
      <c r="A2630" s="677"/>
      <c r="B2630" s="677"/>
      <c r="C2630" s="677"/>
      <c r="D2630" s="896"/>
      <c r="E2630" s="677"/>
      <c r="F2630" s="677"/>
      <c r="G2630" s="677"/>
      <c r="H2630" s="897"/>
      <c r="I2630" s="898"/>
      <c r="J2630" s="898"/>
      <c r="K2630" s="899"/>
      <c r="L2630" s="899"/>
      <c r="M2630" s="899"/>
      <c r="N2630" s="899"/>
      <c r="O2630" s="899"/>
      <c r="P2630" s="899"/>
      <c r="Q2630" s="573"/>
      <c r="R2630" s="573"/>
      <c r="S2630" s="573"/>
      <c r="T2630" s="573"/>
      <c r="U2630" s="573"/>
      <c r="V2630" s="573"/>
      <c r="W2630" s="573"/>
      <c r="X2630" s="573"/>
      <c r="Y2630" s="573"/>
      <c r="Z2630" s="573"/>
    </row>
    <row r="2631" spans="1:26" ht="18.75">
      <c r="A2631" s="677"/>
      <c r="B2631" s="677"/>
      <c r="C2631" s="677"/>
      <c r="D2631" s="896"/>
      <c r="E2631" s="677"/>
      <c r="F2631" s="677"/>
      <c r="G2631" s="677"/>
      <c r="H2631" s="897"/>
      <c r="I2631" s="898"/>
      <c r="J2631" s="898"/>
      <c r="K2631" s="899"/>
      <c r="L2631" s="899"/>
      <c r="M2631" s="899"/>
      <c r="N2631" s="899"/>
      <c r="O2631" s="899"/>
      <c r="P2631" s="899"/>
      <c r="Q2631" s="573"/>
      <c r="R2631" s="573"/>
      <c r="S2631" s="573"/>
      <c r="T2631" s="573"/>
      <c r="U2631" s="573"/>
      <c r="V2631" s="573"/>
      <c r="W2631" s="573"/>
      <c r="X2631" s="573"/>
      <c r="Y2631" s="573"/>
      <c r="Z2631" s="573"/>
    </row>
    <row r="2632" spans="1:26" ht="18.75">
      <c r="A2632" s="677"/>
      <c r="B2632" s="677"/>
      <c r="C2632" s="677"/>
      <c r="D2632" s="896"/>
      <c r="E2632" s="677"/>
      <c r="F2632" s="677"/>
      <c r="G2632" s="677"/>
      <c r="H2632" s="897"/>
      <c r="I2632" s="898"/>
      <c r="J2632" s="898"/>
      <c r="K2632" s="899"/>
      <c r="L2632" s="899"/>
      <c r="M2632" s="899"/>
      <c r="N2632" s="899"/>
      <c r="O2632" s="899"/>
      <c r="P2632" s="899"/>
      <c r="Q2632" s="573"/>
      <c r="R2632" s="573"/>
      <c r="S2632" s="573"/>
      <c r="T2632" s="573"/>
      <c r="U2632" s="573"/>
      <c r="V2632" s="573"/>
      <c r="W2632" s="573"/>
      <c r="X2632" s="573"/>
      <c r="Y2632" s="573"/>
      <c r="Z2632" s="573"/>
    </row>
    <row r="2633" spans="1:26" ht="18.75">
      <c r="A2633" s="677"/>
      <c r="B2633" s="677"/>
      <c r="C2633" s="677"/>
      <c r="D2633" s="896"/>
      <c r="E2633" s="677"/>
      <c r="F2633" s="677"/>
      <c r="G2633" s="677"/>
      <c r="H2633" s="897"/>
      <c r="I2633" s="898"/>
      <c r="J2633" s="898"/>
      <c r="K2633" s="899"/>
      <c r="L2633" s="899"/>
      <c r="M2633" s="899"/>
      <c r="N2633" s="899"/>
      <c r="O2633" s="899"/>
      <c r="P2633" s="899"/>
      <c r="Q2633" s="573"/>
      <c r="R2633" s="573"/>
      <c r="S2633" s="573"/>
      <c r="T2633" s="573"/>
      <c r="U2633" s="573"/>
      <c r="V2633" s="573"/>
      <c r="W2633" s="573"/>
      <c r="X2633" s="573"/>
      <c r="Y2633" s="573"/>
      <c r="Z2633" s="573"/>
    </row>
    <row r="2634" spans="1:26" ht="18.75">
      <c r="A2634" s="677"/>
      <c r="B2634" s="677"/>
      <c r="C2634" s="677"/>
      <c r="D2634" s="896"/>
      <c r="E2634" s="677"/>
      <c r="F2634" s="677"/>
      <c r="G2634" s="677"/>
      <c r="H2634" s="897"/>
      <c r="I2634" s="898"/>
      <c r="J2634" s="898"/>
      <c r="K2634" s="899"/>
      <c r="L2634" s="899"/>
      <c r="M2634" s="899"/>
      <c r="N2634" s="899"/>
      <c r="O2634" s="899"/>
      <c r="P2634" s="899"/>
      <c r="Q2634" s="573"/>
      <c r="R2634" s="573"/>
      <c r="S2634" s="573"/>
      <c r="T2634" s="573"/>
      <c r="U2634" s="573"/>
      <c r="V2634" s="573"/>
      <c r="W2634" s="573"/>
      <c r="X2634" s="573"/>
      <c r="Y2634" s="573"/>
      <c r="Z2634" s="573"/>
    </row>
    <row r="2635" spans="1:26" ht="18.75">
      <c r="A2635" s="677"/>
      <c r="B2635" s="677"/>
      <c r="C2635" s="677"/>
      <c r="D2635" s="896"/>
      <c r="E2635" s="677"/>
      <c r="F2635" s="677"/>
      <c r="G2635" s="677"/>
      <c r="H2635" s="897"/>
      <c r="I2635" s="898"/>
      <c r="J2635" s="898"/>
      <c r="K2635" s="899"/>
      <c r="L2635" s="899"/>
      <c r="M2635" s="899"/>
      <c r="N2635" s="899"/>
      <c r="O2635" s="899"/>
      <c r="P2635" s="899"/>
      <c r="Q2635" s="573"/>
      <c r="R2635" s="573"/>
      <c r="S2635" s="573"/>
      <c r="T2635" s="573"/>
      <c r="U2635" s="573"/>
      <c r="V2635" s="573"/>
      <c r="W2635" s="573"/>
      <c r="X2635" s="573"/>
      <c r="Y2635" s="573"/>
      <c r="Z2635" s="573"/>
    </row>
    <row r="2636" spans="1:26" ht="18.75">
      <c r="A2636" s="677"/>
      <c r="B2636" s="677"/>
      <c r="C2636" s="677"/>
      <c r="D2636" s="896"/>
      <c r="E2636" s="677"/>
      <c r="F2636" s="677"/>
      <c r="G2636" s="677"/>
      <c r="H2636" s="897"/>
      <c r="I2636" s="898"/>
      <c r="J2636" s="898"/>
      <c r="K2636" s="899"/>
      <c r="L2636" s="899"/>
      <c r="M2636" s="899"/>
      <c r="N2636" s="899"/>
      <c r="O2636" s="899"/>
      <c r="P2636" s="899"/>
      <c r="Q2636" s="573"/>
      <c r="R2636" s="573"/>
      <c r="S2636" s="573"/>
      <c r="T2636" s="573"/>
      <c r="U2636" s="573"/>
      <c r="V2636" s="573"/>
      <c r="W2636" s="573"/>
      <c r="X2636" s="573"/>
      <c r="Y2636" s="573"/>
      <c r="Z2636" s="573"/>
    </row>
    <row r="2637" spans="1:26" ht="18.75">
      <c r="A2637" s="677"/>
      <c r="B2637" s="677"/>
      <c r="C2637" s="677"/>
      <c r="D2637" s="896"/>
      <c r="E2637" s="677"/>
      <c r="F2637" s="677"/>
      <c r="G2637" s="677"/>
      <c r="H2637" s="897"/>
      <c r="I2637" s="898"/>
      <c r="J2637" s="898"/>
      <c r="K2637" s="899"/>
      <c r="L2637" s="899"/>
      <c r="M2637" s="899"/>
      <c r="N2637" s="899"/>
      <c r="O2637" s="899"/>
      <c r="P2637" s="899"/>
      <c r="Q2637" s="573"/>
      <c r="R2637" s="573"/>
      <c r="S2637" s="573"/>
      <c r="T2637" s="573"/>
      <c r="U2637" s="573"/>
      <c r="V2637" s="573"/>
      <c r="W2637" s="573"/>
      <c r="X2637" s="573"/>
      <c r="Y2637" s="573"/>
      <c r="Z2637" s="573"/>
    </row>
    <row r="2638" spans="1:26" ht="18.75">
      <c r="A2638" s="677"/>
      <c r="B2638" s="677"/>
      <c r="C2638" s="677"/>
      <c r="D2638" s="896"/>
      <c r="E2638" s="677"/>
      <c r="F2638" s="677"/>
      <c r="G2638" s="677"/>
      <c r="H2638" s="897"/>
      <c r="I2638" s="898"/>
      <c r="J2638" s="898"/>
      <c r="K2638" s="899"/>
      <c r="L2638" s="899"/>
      <c r="M2638" s="899"/>
      <c r="N2638" s="899"/>
      <c r="O2638" s="899"/>
      <c r="P2638" s="899"/>
      <c r="Q2638" s="573"/>
      <c r="R2638" s="573"/>
      <c r="S2638" s="573"/>
      <c r="T2638" s="573"/>
      <c r="U2638" s="573"/>
      <c r="V2638" s="573"/>
      <c r="W2638" s="573"/>
      <c r="X2638" s="573"/>
      <c r="Y2638" s="573"/>
      <c r="Z2638" s="573"/>
    </row>
    <row r="2639" spans="1:26" ht="18.75">
      <c r="A2639" s="677"/>
      <c r="B2639" s="677"/>
      <c r="C2639" s="677"/>
      <c r="D2639" s="896"/>
      <c r="E2639" s="677"/>
      <c r="F2639" s="677"/>
      <c r="G2639" s="677"/>
      <c r="H2639" s="897"/>
      <c r="I2639" s="898"/>
      <c r="J2639" s="898"/>
      <c r="K2639" s="899"/>
      <c r="L2639" s="899"/>
      <c r="M2639" s="899"/>
      <c r="N2639" s="899"/>
      <c r="O2639" s="899"/>
      <c r="P2639" s="899"/>
      <c r="Q2639" s="573"/>
      <c r="R2639" s="573"/>
      <c r="S2639" s="573"/>
      <c r="T2639" s="573"/>
      <c r="U2639" s="573"/>
      <c r="V2639" s="573"/>
      <c r="W2639" s="573"/>
      <c r="X2639" s="573"/>
      <c r="Y2639" s="573"/>
      <c r="Z2639" s="573"/>
    </row>
    <row r="2640" spans="1:26" ht="18.75">
      <c r="A2640" s="677"/>
      <c r="B2640" s="677"/>
      <c r="C2640" s="677"/>
      <c r="D2640" s="896"/>
      <c r="E2640" s="677"/>
      <c r="F2640" s="677"/>
      <c r="G2640" s="677"/>
      <c r="H2640" s="897"/>
      <c r="I2640" s="898"/>
      <c r="J2640" s="898"/>
      <c r="K2640" s="899"/>
      <c r="L2640" s="899"/>
      <c r="M2640" s="899"/>
      <c r="N2640" s="899"/>
      <c r="O2640" s="899"/>
      <c r="P2640" s="899"/>
      <c r="Q2640" s="573"/>
      <c r="R2640" s="573"/>
      <c r="S2640" s="573"/>
      <c r="T2640" s="573"/>
      <c r="U2640" s="573"/>
      <c r="V2640" s="573"/>
      <c r="W2640" s="573"/>
      <c r="X2640" s="573"/>
      <c r="Y2640" s="573"/>
      <c r="Z2640" s="573"/>
    </row>
    <row r="2641" spans="1:26" ht="18.75">
      <c r="A2641" s="677"/>
      <c r="B2641" s="677"/>
      <c r="C2641" s="677"/>
      <c r="D2641" s="896"/>
      <c r="E2641" s="677"/>
      <c r="F2641" s="677"/>
      <c r="G2641" s="677"/>
      <c r="H2641" s="897"/>
      <c r="I2641" s="898"/>
      <c r="J2641" s="898"/>
      <c r="K2641" s="899"/>
      <c r="L2641" s="899"/>
      <c r="M2641" s="899"/>
      <c r="N2641" s="899"/>
      <c r="O2641" s="899"/>
      <c r="P2641" s="899"/>
      <c r="Q2641" s="573"/>
      <c r="R2641" s="573"/>
      <c r="S2641" s="573"/>
      <c r="T2641" s="573"/>
      <c r="U2641" s="573"/>
      <c r="V2641" s="573"/>
      <c r="W2641" s="573"/>
      <c r="X2641" s="573"/>
      <c r="Y2641" s="573"/>
      <c r="Z2641" s="573"/>
    </row>
    <row r="2642" spans="1:26" ht="18.75">
      <c r="A2642" s="677"/>
      <c r="B2642" s="677"/>
      <c r="C2642" s="677"/>
      <c r="D2642" s="896"/>
      <c r="E2642" s="677"/>
      <c r="F2642" s="677"/>
      <c r="G2642" s="677"/>
      <c r="H2642" s="897"/>
      <c r="I2642" s="898"/>
      <c r="J2642" s="898"/>
      <c r="K2642" s="899"/>
      <c r="L2642" s="899"/>
      <c r="M2642" s="899"/>
      <c r="N2642" s="899"/>
      <c r="O2642" s="899"/>
      <c r="P2642" s="899"/>
      <c r="Q2642" s="573"/>
      <c r="R2642" s="573"/>
      <c r="S2642" s="573"/>
      <c r="T2642" s="573"/>
      <c r="U2642" s="573"/>
      <c r="V2642" s="573"/>
      <c r="W2642" s="573"/>
      <c r="X2642" s="573"/>
      <c r="Y2642" s="573"/>
      <c r="Z2642" s="573"/>
    </row>
    <row r="2643" spans="1:26" ht="18.75">
      <c r="A2643" s="677"/>
      <c r="B2643" s="677"/>
      <c r="C2643" s="677"/>
      <c r="D2643" s="896"/>
      <c r="E2643" s="677"/>
      <c r="F2643" s="677"/>
      <c r="G2643" s="677"/>
      <c r="H2643" s="897"/>
      <c r="I2643" s="898"/>
      <c r="J2643" s="898"/>
      <c r="K2643" s="899"/>
      <c r="L2643" s="899"/>
      <c r="M2643" s="899"/>
      <c r="N2643" s="899"/>
      <c r="O2643" s="899"/>
      <c r="P2643" s="899"/>
      <c r="Q2643" s="573"/>
      <c r="R2643" s="573"/>
      <c r="S2643" s="573"/>
      <c r="T2643" s="573"/>
      <c r="U2643" s="573"/>
      <c r="V2643" s="573"/>
      <c r="W2643" s="573"/>
      <c r="X2643" s="573"/>
      <c r="Y2643" s="573"/>
      <c r="Z2643" s="573"/>
    </row>
    <row r="2644" spans="1:26" ht="18.75">
      <c r="A2644" s="677"/>
      <c r="B2644" s="677"/>
      <c r="C2644" s="677"/>
      <c r="D2644" s="896"/>
      <c r="E2644" s="677"/>
      <c r="F2644" s="677"/>
      <c r="G2644" s="677"/>
      <c r="H2644" s="897"/>
      <c r="I2644" s="898"/>
      <c r="J2644" s="898"/>
      <c r="K2644" s="899"/>
      <c r="L2644" s="899"/>
      <c r="M2644" s="899"/>
      <c r="N2644" s="899"/>
      <c r="O2644" s="899"/>
      <c r="P2644" s="899"/>
      <c r="Q2644" s="573"/>
      <c r="R2644" s="573"/>
      <c r="S2644" s="573"/>
      <c r="T2644" s="573"/>
      <c r="U2644" s="573"/>
      <c r="V2644" s="573"/>
      <c r="W2644" s="573"/>
      <c r="X2644" s="573"/>
      <c r="Y2644" s="573"/>
      <c r="Z2644" s="573"/>
    </row>
    <row r="2645" spans="1:26" ht="18.75">
      <c r="A2645" s="677"/>
      <c r="B2645" s="677"/>
      <c r="C2645" s="677"/>
      <c r="D2645" s="896"/>
      <c r="E2645" s="677"/>
      <c r="F2645" s="677"/>
      <c r="G2645" s="677"/>
      <c r="H2645" s="897"/>
      <c r="I2645" s="898"/>
      <c r="J2645" s="898"/>
      <c r="K2645" s="899"/>
      <c r="L2645" s="899"/>
      <c r="M2645" s="899"/>
      <c r="N2645" s="899"/>
      <c r="O2645" s="899"/>
      <c r="P2645" s="899"/>
      <c r="Q2645" s="573"/>
      <c r="R2645" s="573"/>
      <c r="S2645" s="573"/>
      <c r="T2645" s="573"/>
      <c r="U2645" s="573"/>
      <c r="V2645" s="573"/>
      <c r="W2645" s="573"/>
      <c r="X2645" s="573"/>
      <c r="Y2645" s="573"/>
      <c r="Z2645" s="573"/>
    </row>
    <row r="2646" spans="1:26" ht="18.75">
      <c r="A2646" s="677"/>
      <c r="B2646" s="677"/>
      <c r="C2646" s="677"/>
      <c r="D2646" s="896"/>
      <c r="E2646" s="677"/>
      <c r="F2646" s="677"/>
      <c r="G2646" s="677"/>
      <c r="H2646" s="897"/>
      <c r="I2646" s="898"/>
      <c r="J2646" s="898"/>
      <c r="K2646" s="899"/>
      <c r="L2646" s="899"/>
      <c r="M2646" s="899"/>
      <c r="N2646" s="899"/>
      <c r="O2646" s="899"/>
      <c r="P2646" s="899"/>
      <c r="Q2646" s="573"/>
      <c r="R2646" s="573"/>
      <c r="S2646" s="573"/>
      <c r="T2646" s="573"/>
      <c r="U2646" s="573"/>
      <c r="V2646" s="573"/>
      <c r="W2646" s="573"/>
      <c r="X2646" s="573"/>
      <c r="Y2646" s="573"/>
      <c r="Z2646" s="573"/>
    </row>
    <row r="2647" spans="1:26" ht="18.75">
      <c r="A2647" s="677"/>
      <c r="B2647" s="677"/>
      <c r="C2647" s="677"/>
      <c r="D2647" s="896"/>
      <c r="E2647" s="677"/>
      <c r="F2647" s="677"/>
      <c r="G2647" s="677"/>
      <c r="H2647" s="897"/>
      <c r="I2647" s="898"/>
      <c r="J2647" s="898"/>
      <c r="K2647" s="899"/>
      <c r="L2647" s="899"/>
      <c r="M2647" s="899"/>
      <c r="N2647" s="899"/>
      <c r="O2647" s="899"/>
      <c r="P2647" s="899"/>
      <c r="Q2647" s="573"/>
      <c r="R2647" s="573"/>
      <c r="S2647" s="573"/>
      <c r="T2647" s="573"/>
      <c r="U2647" s="573"/>
      <c r="V2647" s="573"/>
      <c r="W2647" s="573"/>
      <c r="X2647" s="573"/>
      <c r="Y2647" s="573"/>
      <c r="Z2647" s="573"/>
    </row>
    <row r="2648" spans="1:26" ht="18.75">
      <c r="A2648" s="677"/>
      <c r="B2648" s="677"/>
      <c r="C2648" s="677"/>
      <c r="D2648" s="896"/>
      <c r="E2648" s="677"/>
      <c r="F2648" s="677"/>
      <c r="G2648" s="677"/>
      <c r="H2648" s="897"/>
      <c r="I2648" s="898"/>
      <c r="J2648" s="898"/>
      <c r="K2648" s="899"/>
      <c r="L2648" s="899"/>
      <c r="M2648" s="899"/>
      <c r="N2648" s="899"/>
      <c r="O2648" s="899"/>
      <c r="P2648" s="899"/>
      <c r="Q2648" s="573"/>
      <c r="R2648" s="573"/>
      <c r="S2648" s="573"/>
      <c r="T2648" s="573"/>
      <c r="U2648" s="573"/>
      <c r="V2648" s="573"/>
      <c r="W2648" s="573"/>
      <c r="X2648" s="573"/>
      <c r="Y2648" s="573"/>
      <c r="Z2648" s="573"/>
    </row>
    <row r="2649" spans="1:26" ht="18.75">
      <c r="A2649" s="677"/>
      <c r="B2649" s="677"/>
      <c r="C2649" s="677"/>
      <c r="D2649" s="896"/>
      <c r="E2649" s="677"/>
      <c r="F2649" s="677"/>
      <c r="G2649" s="677"/>
      <c r="H2649" s="897"/>
      <c r="I2649" s="898"/>
      <c r="J2649" s="898"/>
      <c r="K2649" s="899"/>
      <c r="L2649" s="899"/>
      <c r="M2649" s="899"/>
      <c r="N2649" s="899"/>
      <c r="O2649" s="899"/>
      <c r="P2649" s="899"/>
      <c r="Q2649" s="573"/>
      <c r="R2649" s="573"/>
      <c r="S2649" s="573"/>
      <c r="T2649" s="573"/>
      <c r="U2649" s="573"/>
      <c r="V2649" s="573"/>
      <c r="W2649" s="573"/>
      <c r="X2649" s="573"/>
      <c r="Y2649" s="573"/>
      <c r="Z2649" s="573"/>
    </row>
    <row r="2650" spans="1:26" ht="18.75">
      <c r="A2650" s="677"/>
      <c r="B2650" s="677"/>
      <c r="C2650" s="677"/>
      <c r="D2650" s="896"/>
      <c r="E2650" s="677"/>
      <c r="F2650" s="677"/>
      <c r="G2650" s="677"/>
      <c r="H2650" s="897"/>
      <c r="I2650" s="898"/>
      <c r="J2650" s="898"/>
      <c r="K2650" s="899"/>
      <c r="L2650" s="899"/>
      <c r="M2650" s="899"/>
      <c r="N2650" s="899"/>
      <c r="O2650" s="899"/>
      <c r="P2650" s="899"/>
      <c r="Q2650" s="573"/>
      <c r="R2650" s="573"/>
      <c r="S2650" s="573"/>
      <c r="T2650" s="573"/>
      <c r="U2650" s="573"/>
      <c r="V2650" s="573"/>
      <c r="W2650" s="573"/>
      <c r="X2650" s="573"/>
      <c r="Y2650" s="573"/>
      <c r="Z2650" s="573"/>
    </row>
    <row r="2651" spans="1:26" ht="18.75">
      <c r="A2651" s="677"/>
      <c r="B2651" s="677"/>
      <c r="C2651" s="677"/>
      <c r="D2651" s="896"/>
      <c r="E2651" s="677"/>
      <c r="F2651" s="677"/>
      <c r="G2651" s="677"/>
      <c r="H2651" s="897"/>
      <c r="I2651" s="898"/>
      <c r="J2651" s="898"/>
      <c r="K2651" s="899"/>
      <c r="L2651" s="899"/>
      <c r="M2651" s="899"/>
      <c r="N2651" s="899"/>
      <c r="O2651" s="899"/>
      <c r="P2651" s="899"/>
      <c r="Q2651" s="573"/>
      <c r="R2651" s="573"/>
      <c r="S2651" s="573"/>
      <c r="T2651" s="573"/>
      <c r="U2651" s="573"/>
      <c r="V2651" s="573"/>
      <c r="W2651" s="573"/>
      <c r="X2651" s="573"/>
      <c r="Y2651" s="573"/>
      <c r="Z2651" s="573"/>
    </row>
    <row r="2652" spans="1:26" ht="18.75">
      <c r="A2652" s="677"/>
      <c r="B2652" s="677"/>
      <c r="C2652" s="677"/>
      <c r="D2652" s="896"/>
      <c r="E2652" s="677"/>
      <c r="F2652" s="677"/>
      <c r="G2652" s="677"/>
      <c r="H2652" s="897"/>
      <c r="I2652" s="898"/>
      <c r="J2652" s="898"/>
      <c r="K2652" s="899"/>
      <c r="L2652" s="899"/>
      <c r="M2652" s="899"/>
      <c r="N2652" s="899"/>
      <c r="O2652" s="899"/>
      <c r="P2652" s="899"/>
      <c r="Q2652" s="573"/>
      <c r="R2652" s="573"/>
      <c r="S2652" s="573"/>
      <c r="T2652" s="573"/>
      <c r="U2652" s="573"/>
      <c r="V2652" s="573"/>
      <c r="W2652" s="573"/>
      <c r="X2652" s="573"/>
      <c r="Y2652" s="573"/>
      <c r="Z2652" s="573"/>
    </row>
    <row r="2653" spans="1:26" ht="18.75">
      <c r="A2653" s="677"/>
      <c r="B2653" s="677"/>
      <c r="C2653" s="677"/>
      <c r="D2653" s="896"/>
      <c r="E2653" s="677"/>
      <c r="F2653" s="677"/>
      <c r="G2653" s="677"/>
      <c r="H2653" s="897"/>
      <c r="I2653" s="898"/>
      <c r="J2653" s="898"/>
      <c r="K2653" s="899"/>
      <c r="L2653" s="899"/>
      <c r="M2653" s="899"/>
      <c r="N2653" s="899"/>
      <c r="O2653" s="899"/>
      <c r="P2653" s="899"/>
      <c r="Q2653" s="573"/>
      <c r="R2653" s="573"/>
      <c r="S2653" s="573"/>
      <c r="T2653" s="573"/>
      <c r="U2653" s="573"/>
      <c r="V2653" s="573"/>
      <c r="W2653" s="573"/>
      <c r="X2653" s="573"/>
      <c r="Y2653" s="573"/>
      <c r="Z2653" s="573"/>
    </row>
    <row r="2654" spans="1:26" ht="18.75">
      <c r="A2654" s="677"/>
      <c r="B2654" s="677"/>
      <c r="C2654" s="677"/>
      <c r="D2654" s="896"/>
      <c r="E2654" s="677"/>
      <c r="F2654" s="677"/>
      <c r="G2654" s="677"/>
      <c r="H2654" s="897"/>
      <c r="I2654" s="898"/>
      <c r="J2654" s="898"/>
      <c r="K2654" s="899"/>
      <c r="L2654" s="899"/>
      <c r="M2654" s="899"/>
      <c r="N2654" s="899"/>
      <c r="O2654" s="899"/>
      <c r="P2654" s="899"/>
      <c r="Q2654" s="573"/>
      <c r="R2654" s="573"/>
      <c r="S2654" s="573"/>
      <c r="T2654" s="573"/>
      <c r="U2654" s="573"/>
      <c r="V2654" s="573"/>
      <c r="W2654" s="573"/>
      <c r="X2654" s="573"/>
      <c r="Y2654" s="573"/>
      <c r="Z2654" s="573"/>
    </row>
    <row r="2655" spans="1:26" ht="18.75">
      <c r="A2655" s="677"/>
      <c r="B2655" s="677"/>
      <c r="C2655" s="677"/>
      <c r="D2655" s="896"/>
      <c r="E2655" s="677"/>
      <c r="F2655" s="677"/>
      <c r="G2655" s="677"/>
      <c r="H2655" s="897"/>
      <c r="I2655" s="898"/>
      <c r="J2655" s="898"/>
      <c r="K2655" s="899"/>
      <c r="L2655" s="899"/>
      <c r="M2655" s="899"/>
      <c r="N2655" s="899"/>
      <c r="O2655" s="899"/>
      <c r="P2655" s="899"/>
      <c r="Q2655" s="573"/>
      <c r="R2655" s="573"/>
      <c r="S2655" s="573"/>
      <c r="T2655" s="573"/>
      <c r="U2655" s="573"/>
      <c r="V2655" s="573"/>
      <c r="W2655" s="573"/>
      <c r="X2655" s="573"/>
      <c r="Y2655" s="573"/>
      <c r="Z2655" s="573"/>
    </row>
    <row r="2656" spans="1:26" ht="18.75">
      <c r="A2656" s="677"/>
      <c r="B2656" s="677"/>
      <c r="C2656" s="677"/>
      <c r="D2656" s="896"/>
      <c r="E2656" s="677"/>
      <c r="F2656" s="677"/>
      <c r="G2656" s="677"/>
      <c r="H2656" s="897"/>
      <c r="I2656" s="898"/>
      <c r="J2656" s="898"/>
      <c r="K2656" s="899"/>
      <c r="L2656" s="899"/>
      <c r="M2656" s="899"/>
      <c r="N2656" s="899"/>
      <c r="O2656" s="899"/>
      <c r="P2656" s="899"/>
      <c r="Q2656" s="573"/>
      <c r="R2656" s="573"/>
      <c r="S2656" s="573"/>
      <c r="T2656" s="573"/>
      <c r="U2656" s="573"/>
      <c r="V2656" s="573"/>
      <c r="W2656" s="573"/>
      <c r="X2656" s="573"/>
      <c r="Y2656" s="573"/>
      <c r="Z2656" s="573"/>
    </row>
    <row r="2657" spans="1:26" ht="18.75">
      <c r="A2657" s="677"/>
      <c r="B2657" s="677"/>
      <c r="C2657" s="677"/>
      <c r="D2657" s="896"/>
      <c r="E2657" s="677"/>
      <c r="F2657" s="677"/>
      <c r="G2657" s="677"/>
      <c r="H2657" s="897"/>
      <c r="I2657" s="898"/>
      <c r="J2657" s="898"/>
      <c r="K2657" s="899"/>
      <c r="L2657" s="899"/>
      <c r="M2657" s="899"/>
      <c r="N2657" s="899"/>
      <c r="O2657" s="899"/>
      <c r="P2657" s="899"/>
      <c r="Q2657" s="573"/>
      <c r="R2657" s="573"/>
      <c r="S2657" s="573"/>
      <c r="T2657" s="573"/>
      <c r="U2657" s="573"/>
      <c r="V2657" s="573"/>
      <c r="W2657" s="573"/>
      <c r="X2657" s="573"/>
      <c r="Y2657" s="573"/>
      <c r="Z2657" s="573"/>
    </row>
    <row r="2658" spans="1:26" ht="18.75">
      <c r="A2658" s="677"/>
      <c r="B2658" s="677"/>
      <c r="C2658" s="677"/>
      <c r="D2658" s="896"/>
      <c r="E2658" s="677"/>
      <c r="F2658" s="677"/>
      <c r="G2658" s="677"/>
      <c r="H2658" s="897"/>
      <c r="I2658" s="898"/>
      <c r="J2658" s="898"/>
      <c r="K2658" s="899"/>
      <c r="L2658" s="899"/>
      <c r="M2658" s="899"/>
      <c r="N2658" s="899"/>
      <c r="O2658" s="899"/>
      <c r="P2658" s="899"/>
      <c r="Q2658" s="573"/>
      <c r="R2658" s="573"/>
      <c r="S2658" s="573"/>
      <c r="T2658" s="573"/>
      <c r="U2658" s="573"/>
      <c r="V2658" s="573"/>
      <c r="W2658" s="573"/>
      <c r="X2658" s="573"/>
      <c r="Y2658" s="573"/>
      <c r="Z2658" s="573"/>
    </row>
    <row r="2659" spans="1:26" ht="18.75">
      <c r="A2659" s="677"/>
      <c r="B2659" s="677"/>
      <c r="C2659" s="677"/>
      <c r="D2659" s="896"/>
      <c r="E2659" s="677"/>
      <c r="F2659" s="677"/>
      <c r="G2659" s="677"/>
      <c r="H2659" s="897"/>
      <c r="I2659" s="898"/>
      <c r="J2659" s="898"/>
      <c r="K2659" s="899"/>
      <c r="L2659" s="899"/>
      <c r="M2659" s="899"/>
      <c r="N2659" s="899"/>
      <c r="O2659" s="899"/>
      <c r="P2659" s="899"/>
      <c r="Q2659" s="573"/>
      <c r="R2659" s="573"/>
      <c r="S2659" s="573"/>
      <c r="T2659" s="573"/>
      <c r="U2659" s="573"/>
      <c r="V2659" s="573"/>
      <c r="W2659" s="573"/>
      <c r="X2659" s="573"/>
      <c r="Y2659" s="573"/>
      <c r="Z2659" s="573"/>
    </row>
    <row r="2660" spans="1:26" ht="18.75">
      <c r="A2660" s="677"/>
      <c r="B2660" s="677"/>
      <c r="C2660" s="677"/>
      <c r="D2660" s="896"/>
      <c r="E2660" s="677"/>
      <c r="F2660" s="677"/>
      <c r="G2660" s="677"/>
      <c r="H2660" s="897"/>
      <c r="I2660" s="898"/>
      <c r="J2660" s="898"/>
      <c r="K2660" s="899"/>
      <c r="L2660" s="899"/>
      <c r="M2660" s="899"/>
      <c r="N2660" s="899"/>
      <c r="O2660" s="899"/>
      <c r="P2660" s="899"/>
      <c r="Q2660" s="573"/>
      <c r="R2660" s="573"/>
      <c r="S2660" s="573"/>
      <c r="T2660" s="573"/>
      <c r="U2660" s="573"/>
      <c r="V2660" s="573"/>
      <c r="W2660" s="573"/>
      <c r="X2660" s="573"/>
      <c r="Y2660" s="573"/>
      <c r="Z2660" s="573"/>
    </row>
    <row r="2661" spans="1:26" ht="18.75">
      <c r="A2661" s="677"/>
      <c r="B2661" s="677"/>
      <c r="C2661" s="677"/>
      <c r="D2661" s="896"/>
      <c r="E2661" s="677"/>
      <c r="F2661" s="677"/>
      <c r="G2661" s="677"/>
      <c r="H2661" s="897"/>
      <c r="I2661" s="898"/>
      <c r="J2661" s="898"/>
      <c r="K2661" s="899"/>
      <c r="L2661" s="899"/>
      <c r="M2661" s="899"/>
      <c r="N2661" s="899"/>
      <c r="O2661" s="899"/>
      <c r="P2661" s="899"/>
      <c r="Q2661" s="573"/>
      <c r="R2661" s="573"/>
      <c r="S2661" s="573"/>
      <c r="T2661" s="573"/>
      <c r="U2661" s="573"/>
      <c r="V2661" s="573"/>
      <c r="W2661" s="573"/>
      <c r="X2661" s="573"/>
      <c r="Y2661" s="573"/>
      <c r="Z2661" s="573"/>
    </row>
    <row r="2662" spans="1:26" ht="18.75">
      <c r="A2662" s="677"/>
      <c r="B2662" s="677"/>
      <c r="C2662" s="677"/>
      <c r="D2662" s="896"/>
      <c r="E2662" s="677"/>
      <c r="F2662" s="677"/>
      <c r="G2662" s="677"/>
      <c r="H2662" s="897"/>
      <c r="I2662" s="898"/>
      <c r="J2662" s="898"/>
      <c r="K2662" s="899"/>
      <c r="L2662" s="899"/>
      <c r="M2662" s="899"/>
      <c r="N2662" s="899"/>
      <c r="O2662" s="899"/>
      <c r="P2662" s="899"/>
      <c r="Q2662" s="573"/>
      <c r="R2662" s="573"/>
      <c r="S2662" s="573"/>
      <c r="T2662" s="573"/>
      <c r="U2662" s="573"/>
      <c r="V2662" s="573"/>
      <c r="W2662" s="573"/>
      <c r="X2662" s="573"/>
      <c r="Y2662" s="573"/>
      <c r="Z2662" s="573"/>
    </row>
    <row r="2663" spans="1:26" ht="18.75">
      <c r="A2663" s="677"/>
      <c r="B2663" s="677"/>
      <c r="C2663" s="677"/>
      <c r="D2663" s="896"/>
      <c r="E2663" s="677"/>
      <c r="F2663" s="677"/>
      <c r="G2663" s="677"/>
      <c r="H2663" s="897"/>
      <c r="I2663" s="898"/>
      <c r="J2663" s="898"/>
      <c r="K2663" s="899"/>
      <c r="L2663" s="899"/>
      <c r="M2663" s="899"/>
      <c r="N2663" s="899"/>
      <c r="O2663" s="899"/>
      <c r="P2663" s="899"/>
      <c r="Q2663" s="573"/>
      <c r="R2663" s="573"/>
      <c r="S2663" s="573"/>
      <c r="T2663" s="573"/>
      <c r="U2663" s="573"/>
      <c r="V2663" s="573"/>
      <c r="W2663" s="573"/>
      <c r="X2663" s="573"/>
      <c r="Y2663" s="573"/>
      <c r="Z2663" s="573"/>
    </row>
    <row r="2664" spans="1:26" ht="18.75">
      <c r="A2664" s="677"/>
      <c r="B2664" s="677"/>
      <c r="C2664" s="677"/>
      <c r="D2664" s="896"/>
      <c r="E2664" s="677"/>
      <c r="F2664" s="677"/>
      <c r="G2664" s="677"/>
      <c r="H2664" s="897"/>
      <c r="I2664" s="898"/>
      <c r="J2664" s="898"/>
      <c r="K2664" s="899"/>
      <c r="L2664" s="899"/>
      <c r="M2664" s="899"/>
      <c r="N2664" s="899"/>
      <c r="O2664" s="899"/>
      <c r="P2664" s="899"/>
      <c r="Q2664" s="573"/>
      <c r="R2664" s="573"/>
      <c r="S2664" s="573"/>
      <c r="T2664" s="573"/>
      <c r="U2664" s="573"/>
      <c r="V2664" s="573"/>
      <c r="W2664" s="573"/>
      <c r="X2664" s="573"/>
      <c r="Y2664" s="573"/>
      <c r="Z2664" s="573"/>
    </row>
    <row r="2665" spans="1:26" ht="18.75">
      <c r="A2665" s="677"/>
      <c r="B2665" s="677"/>
      <c r="C2665" s="677"/>
      <c r="D2665" s="896"/>
      <c r="E2665" s="677"/>
      <c r="F2665" s="677"/>
      <c r="G2665" s="677"/>
      <c r="H2665" s="897"/>
      <c r="I2665" s="898"/>
      <c r="J2665" s="898"/>
      <c r="K2665" s="899"/>
      <c r="L2665" s="899"/>
      <c r="M2665" s="899"/>
      <c r="N2665" s="899"/>
      <c r="O2665" s="899"/>
      <c r="P2665" s="899"/>
      <c r="Q2665" s="573"/>
      <c r="R2665" s="573"/>
      <c r="S2665" s="573"/>
      <c r="T2665" s="573"/>
      <c r="U2665" s="573"/>
      <c r="V2665" s="573"/>
      <c r="W2665" s="573"/>
      <c r="X2665" s="573"/>
      <c r="Y2665" s="573"/>
      <c r="Z2665" s="573"/>
    </row>
    <row r="2666" spans="1:26" ht="18.75">
      <c r="A2666" s="677"/>
      <c r="B2666" s="677"/>
      <c r="C2666" s="677"/>
      <c r="D2666" s="896"/>
      <c r="E2666" s="677"/>
      <c r="F2666" s="677"/>
      <c r="G2666" s="677"/>
      <c r="H2666" s="897"/>
      <c r="I2666" s="898"/>
      <c r="J2666" s="898"/>
      <c r="K2666" s="899"/>
      <c r="L2666" s="899"/>
      <c r="M2666" s="899"/>
      <c r="N2666" s="899"/>
      <c r="O2666" s="899"/>
      <c r="P2666" s="899"/>
      <c r="Q2666" s="573"/>
      <c r="R2666" s="573"/>
      <c r="S2666" s="573"/>
      <c r="T2666" s="573"/>
      <c r="U2666" s="573"/>
      <c r="V2666" s="573"/>
      <c r="W2666" s="573"/>
      <c r="X2666" s="573"/>
      <c r="Y2666" s="573"/>
      <c r="Z2666" s="573"/>
    </row>
    <row r="2667" spans="1:26" ht="18.75">
      <c r="A2667" s="677"/>
      <c r="B2667" s="677"/>
      <c r="C2667" s="677"/>
      <c r="D2667" s="896"/>
      <c r="E2667" s="677"/>
      <c r="F2667" s="677"/>
      <c r="G2667" s="677"/>
      <c r="H2667" s="897"/>
      <c r="I2667" s="898"/>
      <c r="J2667" s="898"/>
      <c r="K2667" s="899"/>
      <c r="L2667" s="899"/>
      <c r="M2667" s="899"/>
      <c r="N2667" s="899"/>
      <c r="O2667" s="899"/>
      <c r="P2667" s="899"/>
      <c r="Q2667" s="573"/>
      <c r="R2667" s="573"/>
      <c r="S2667" s="573"/>
      <c r="T2667" s="573"/>
      <c r="U2667" s="573"/>
      <c r="V2667" s="573"/>
      <c r="W2667" s="573"/>
      <c r="X2667" s="573"/>
      <c r="Y2667" s="573"/>
      <c r="Z2667" s="573"/>
    </row>
    <row r="2668" spans="1:26" ht="18.75">
      <c r="A2668" s="677"/>
      <c r="B2668" s="677"/>
      <c r="C2668" s="677"/>
      <c r="D2668" s="896"/>
      <c r="E2668" s="677"/>
      <c r="F2668" s="677"/>
      <c r="G2668" s="677"/>
      <c r="H2668" s="897"/>
      <c r="I2668" s="898"/>
      <c r="J2668" s="898"/>
      <c r="K2668" s="899"/>
      <c r="L2668" s="899"/>
      <c r="M2668" s="899"/>
      <c r="N2668" s="899"/>
      <c r="O2668" s="899"/>
      <c r="P2668" s="899"/>
      <c r="Q2668" s="573"/>
      <c r="R2668" s="573"/>
      <c r="S2668" s="573"/>
      <c r="T2668" s="573"/>
      <c r="U2668" s="573"/>
      <c r="V2668" s="573"/>
      <c r="W2668" s="573"/>
      <c r="X2668" s="573"/>
      <c r="Y2668" s="573"/>
      <c r="Z2668" s="573"/>
    </row>
    <row r="2669" spans="1:26" ht="18.75">
      <c r="A2669" s="677"/>
      <c r="B2669" s="677"/>
      <c r="C2669" s="677"/>
      <c r="D2669" s="896"/>
      <c r="E2669" s="677"/>
      <c r="F2669" s="677"/>
      <c r="G2669" s="677"/>
      <c r="H2669" s="897"/>
      <c r="I2669" s="898"/>
      <c r="J2669" s="898"/>
      <c r="K2669" s="899"/>
      <c r="L2669" s="899"/>
      <c r="M2669" s="899"/>
      <c r="N2669" s="899"/>
      <c r="O2669" s="899"/>
      <c r="P2669" s="899"/>
      <c r="Q2669" s="573"/>
      <c r="R2669" s="573"/>
      <c r="S2669" s="573"/>
      <c r="T2669" s="573"/>
      <c r="U2669" s="573"/>
      <c r="V2669" s="573"/>
      <c r="W2669" s="573"/>
      <c r="X2669" s="573"/>
      <c r="Y2669" s="573"/>
      <c r="Z2669" s="573"/>
    </row>
    <row r="2670" spans="1:26" ht="18.75">
      <c r="A2670" s="677"/>
      <c r="B2670" s="677"/>
      <c r="C2670" s="677"/>
      <c r="D2670" s="896"/>
      <c r="E2670" s="677"/>
      <c r="F2670" s="677"/>
      <c r="G2670" s="677"/>
      <c r="H2670" s="897"/>
      <c r="I2670" s="898"/>
      <c r="J2670" s="898"/>
      <c r="K2670" s="899"/>
      <c r="L2670" s="899"/>
      <c r="M2670" s="899"/>
      <c r="N2670" s="899"/>
      <c r="O2670" s="899"/>
      <c r="P2670" s="899"/>
      <c r="Q2670" s="573"/>
      <c r="R2670" s="573"/>
      <c r="S2670" s="573"/>
      <c r="T2670" s="573"/>
      <c r="U2670" s="573"/>
      <c r="V2670" s="573"/>
      <c r="W2670" s="573"/>
      <c r="X2670" s="573"/>
      <c r="Y2670" s="573"/>
      <c r="Z2670" s="573"/>
    </row>
    <row r="2671" spans="1:26" ht="18.75">
      <c r="A2671" s="677"/>
      <c r="B2671" s="677"/>
      <c r="C2671" s="677"/>
      <c r="D2671" s="896"/>
      <c r="E2671" s="677"/>
      <c r="F2671" s="677"/>
      <c r="G2671" s="677"/>
      <c r="H2671" s="897"/>
      <c r="I2671" s="898"/>
      <c r="J2671" s="898"/>
      <c r="K2671" s="899"/>
      <c r="L2671" s="899"/>
      <c r="M2671" s="899"/>
      <c r="N2671" s="899"/>
      <c r="O2671" s="899"/>
      <c r="P2671" s="899"/>
      <c r="Q2671" s="573"/>
      <c r="R2671" s="573"/>
      <c r="S2671" s="573"/>
      <c r="T2671" s="573"/>
      <c r="U2671" s="573"/>
      <c r="V2671" s="573"/>
      <c r="W2671" s="573"/>
      <c r="X2671" s="573"/>
      <c r="Y2671" s="573"/>
      <c r="Z2671" s="573"/>
    </row>
    <row r="2672" spans="1:26" ht="18.75">
      <c r="A2672" s="677"/>
      <c r="B2672" s="677"/>
      <c r="C2672" s="677"/>
      <c r="D2672" s="896"/>
      <c r="E2672" s="677"/>
      <c r="F2672" s="677"/>
      <c r="G2672" s="677"/>
      <c r="H2672" s="897"/>
      <c r="I2672" s="898"/>
      <c r="J2672" s="898"/>
      <c r="K2672" s="899"/>
      <c r="L2672" s="899"/>
      <c r="M2672" s="899"/>
      <c r="N2672" s="899"/>
      <c r="O2672" s="899"/>
      <c r="P2672" s="899"/>
      <c r="Q2672" s="573"/>
      <c r="R2672" s="573"/>
      <c r="S2672" s="573"/>
      <c r="T2672" s="573"/>
      <c r="U2672" s="573"/>
      <c r="V2672" s="573"/>
      <c r="W2672" s="573"/>
      <c r="X2672" s="573"/>
      <c r="Y2672" s="573"/>
      <c r="Z2672" s="573"/>
    </row>
    <row r="2673" spans="1:26" ht="18.75">
      <c r="A2673" s="677"/>
      <c r="B2673" s="677"/>
      <c r="C2673" s="677"/>
      <c r="D2673" s="896"/>
      <c r="E2673" s="677"/>
      <c r="F2673" s="677"/>
      <c r="G2673" s="677"/>
      <c r="H2673" s="897"/>
      <c r="I2673" s="898"/>
      <c r="J2673" s="898"/>
      <c r="K2673" s="899"/>
      <c r="L2673" s="899"/>
      <c r="M2673" s="899"/>
      <c r="N2673" s="899"/>
      <c r="O2673" s="899"/>
      <c r="P2673" s="899"/>
      <c r="Q2673" s="573"/>
      <c r="R2673" s="573"/>
      <c r="S2673" s="573"/>
      <c r="T2673" s="573"/>
      <c r="U2673" s="573"/>
      <c r="V2673" s="573"/>
      <c r="W2673" s="573"/>
      <c r="X2673" s="573"/>
      <c r="Y2673" s="573"/>
      <c r="Z2673" s="573"/>
    </row>
    <row r="2674" spans="1:26" ht="18.75">
      <c r="A2674" s="677"/>
      <c r="B2674" s="677"/>
      <c r="C2674" s="677"/>
      <c r="D2674" s="896"/>
      <c r="E2674" s="677"/>
      <c r="F2674" s="677"/>
      <c r="G2674" s="677"/>
      <c r="H2674" s="897"/>
      <c r="I2674" s="898"/>
      <c r="J2674" s="898"/>
      <c r="K2674" s="899"/>
      <c r="L2674" s="899"/>
      <c r="M2674" s="899"/>
      <c r="N2674" s="899"/>
      <c r="O2674" s="899"/>
      <c r="P2674" s="899"/>
      <c r="Q2674" s="573"/>
      <c r="R2674" s="573"/>
      <c r="S2674" s="573"/>
      <c r="T2674" s="573"/>
      <c r="U2674" s="573"/>
      <c r="V2674" s="573"/>
      <c r="W2674" s="573"/>
      <c r="X2674" s="573"/>
      <c r="Y2674" s="573"/>
      <c r="Z2674" s="573"/>
    </row>
    <row r="2675" spans="1:26" ht="18.75">
      <c r="A2675" s="677"/>
      <c r="B2675" s="677"/>
      <c r="C2675" s="677"/>
      <c r="D2675" s="896"/>
      <c r="E2675" s="677"/>
      <c r="F2675" s="677"/>
      <c r="G2675" s="677"/>
      <c r="H2675" s="897"/>
      <c r="I2675" s="898"/>
      <c r="J2675" s="898"/>
      <c r="K2675" s="899"/>
      <c r="L2675" s="899"/>
      <c r="M2675" s="899"/>
      <c r="N2675" s="899"/>
      <c r="O2675" s="899"/>
      <c r="P2675" s="899"/>
      <c r="Q2675" s="573"/>
      <c r="R2675" s="573"/>
      <c r="S2675" s="573"/>
      <c r="T2675" s="573"/>
      <c r="U2675" s="573"/>
      <c r="V2675" s="573"/>
      <c r="W2675" s="573"/>
      <c r="X2675" s="573"/>
      <c r="Y2675" s="573"/>
      <c r="Z2675" s="573"/>
    </row>
    <row r="2676" spans="1:26" ht="18.75">
      <c r="A2676" s="677"/>
      <c r="B2676" s="677"/>
      <c r="C2676" s="677"/>
      <c r="D2676" s="896"/>
      <c r="E2676" s="677"/>
      <c r="F2676" s="677"/>
      <c r="G2676" s="677"/>
      <c r="H2676" s="897"/>
      <c r="I2676" s="898"/>
      <c r="J2676" s="898"/>
      <c r="K2676" s="899"/>
      <c r="L2676" s="899"/>
      <c r="M2676" s="899"/>
      <c r="N2676" s="899"/>
      <c r="O2676" s="899"/>
      <c r="P2676" s="899"/>
      <c r="Q2676" s="573"/>
      <c r="R2676" s="573"/>
      <c r="S2676" s="573"/>
      <c r="T2676" s="573"/>
      <c r="U2676" s="573"/>
      <c r="V2676" s="573"/>
      <c r="W2676" s="573"/>
      <c r="X2676" s="573"/>
      <c r="Y2676" s="573"/>
      <c r="Z2676" s="573"/>
    </row>
    <row r="2677" spans="1:26" ht="18.75">
      <c r="A2677" s="677"/>
      <c r="B2677" s="677"/>
      <c r="C2677" s="677"/>
      <c r="D2677" s="896"/>
      <c r="E2677" s="677"/>
      <c r="F2677" s="677"/>
      <c r="G2677" s="677"/>
      <c r="H2677" s="897"/>
      <c r="I2677" s="898"/>
      <c r="J2677" s="898"/>
      <c r="K2677" s="899"/>
      <c r="L2677" s="899"/>
      <c r="M2677" s="899"/>
      <c r="N2677" s="899"/>
      <c r="O2677" s="899"/>
      <c r="P2677" s="899"/>
      <c r="Q2677" s="573"/>
      <c r="R2677" s="573"/>
      <c r="S2677" s="573"/>
      <c r="T2677" s="573"/>
      <c r="U2677" s="573"/>
      <c r="V2677" s="573"/>
      <c r="W2677" s="573"/>
      <c r="X2677" s="573"/>
      <c r="Y2677" s="573"/>
      <c r="Z2677" s="573"/>
    </row>
    <row r="2678" spans="1:26" ht="18.75">
      <c r="A2678" s="677"/>
      <c r="B2678" s="677"/>
      <c r="C2678" s="677"/>
      <c r="D2678" s="896"/>
      <c r="E2678" s="677"/>
      <c r="F2678" s="677"/>
      <c r="G2678" s="677"/>
      <c r="H2678" s="897"/>
      <c r="I2678" s="898"/>
      <c r="J2678" s="898"/>
      <c r="K2678" s="899"/>
      <c r="L2678" s="899"/>
      <c r="M2678" s="899"/>
      <c r="N2678" s="899"/>
      <c r="O2678" s="899"/>
      <c r="P2678" s="899"/>
      <c r="Q2678" s="573"/>
      <c r="R2678" s="573"/>
      <c r="S2678" s="573"/>
      <c r="T2678" s="573"/>
      <c r="U2678" s="573"/>
      <c r="V2678" s="573"/>
      <c r="W2678" s="573"/>
      <c r="X2678" s="573"/>
      <c r="Y2678" s="573"/>
      <c r="Z2678" s="573"/>
    </row>
    <row r="2679" spans="1:26" ht="18.75">
      <c r="A2679" s="677"/>
      <c r="B2679" s="677"/>
      <c r="C2679" s="677"/>
      <c r="D2679" s="896"/>
      <c r="E2679" s="677"/>
      <c r="F2679" s="677"/>
      <c r="G2679" s="677"/>
      <c r="H2679" s="897"/>
      <c r="I2679" s="898"/>
      <c r="J2679" s="898"/>
      <c r="K2679" s="899"/>
      <c r="L2679" s="899"/>
      <c r="M2679" s="899"/>
      <c r="N2679" s="899"/>
      <c r="O2679" s="899"/>
      <c r="P2679" s="899"/>
      <c r="Q2679" s="573"/>
      <c r="R2679" s="573"/>
      <c r="S2679" s="573"/>
      <c r="T2679" s="573"/>
      <c r="U2679" s="573"/>
      <c r="V2679" s="573"/>
      <c r="W2679" s="573"/>
      <c r="X2679" s="573"/>
      <c r="Y2679" s="573"/>
      <c r="Z2679" s="573"/>
    </row>
    <row r="2680" spans="1:26" ht="18.75">
      <c r="A2680" s="677"/>
      <c r="B2680" s="677"/>
      <c r="C2680" s="677"/>
      <c r="D2680" s="896"/>
      <c r="E2680" s="677"/>
      <c r="F2680" s="677"/>
      <c r="G2680" s="677"/>
      <c r="H2680" s="897"/>
      <c r="I2680" s="898"/>
      <c r="J2680" s="898"/>
      <c r="K2680" s="899"/>
      <c r="L2680" s="899"/>
      <c r="M2680" s="899"/>
      <c r="N2680" s="899"/>
      <c r="O2680" s="899"/>
      <c r="P2680" s="899"/>
      <c r="Q2680" s="573"/>
      <c r="R2680" s="573"/>
      <c r="S2680" s="573"/>
      <c r="T2680" s="573"/>
      <c r="U2680" s="573"/>
      <c r="V2680" s="573"/>
      <c r="W2680" s="573"/>
      <c r="X2680" s="573"/>
      <c r="Y2680" s="573"/>
      <c r="Z2680" s="573"/>
    </row>
    <row r="2681" spans="1:26" ht="18.75">
      <c r="A2681" s="677"/>
      <c r="B2681" s="677"/>
      <c r="C2681" s="677"/>
      <c r="D2681" s="896"/>
      <c r="E2681" s="677"/>
      <c r="F2681" s="677"/>
      <c r="G2681" s="677"/>
      <c r="H2681" s="897"/>
      <c r="I2681" s="898"/>
      <c r="J2681" s="898"/>
      <c r="K2681" s="899"/>
      <c r="L2681" s="899"/>
      <c r="M2681" s="899"/>
      <c r="N2681" s="899"/>
      <c r="O2681" s="899"/>
      <c r="P2681" s="899"/>
      <c r="Q2681" s="573"/>
      <c r="R2681" s="573"/>
      <c r="S2681" s="573"/>
      <c r="T2681" s="573"/>
      <c r="U2681" s="573"/>
      <c r="V2681" s="573"/>
      <c r="W2681" s="573"/>
      <c r="X2681" s="573"/>
      <c r="Y2681" s="573"/>
      <c r="Z2681" s="573"/>
    </row>
    <row r="2682" spans="1:26" ht="18.75">
      <c r="A2682" s="677"/>
      <c r="B2682" s="677"/>
      <c r="C2682" s="677"/>
      <c r="D2682" s="896"/>
      <c r="E2682" s="677"/>
      <c r="F2682" s="677"/>
      <c r="G2682" s="677"/>
      <c r="H2682" s="897"/>
      <c r="I2682" s="898"/>
      <c r="J2682" s="898"/>
      <c r="K2682" s="899"/>
      <c r="L2682" s="899"/>
      <c r="M2682" s="899"/>
      <c r="N2682" s="899"/>
      <c r="O2682" s="899"/>
      <c r="P2682" s="899"/>
      <c r="Q2682" s="573"/>
      <c r="R2682" s="573"/>
      <c r="S2682" s="573"/>
      <c r="T2682" s="573"/>
      <c r="U2682" s="573"/>
      <c r="V2682" s="573"/>
      <c r="W2682" s="573"/>
      <c r="X2682" s="573"/>
      <c r="Y2682" s="573"/>
      <c r="Z2682" s="573"/>
    </row>
    <row r="2683" spans="1:26" ht="18.75">
      <c r="A2683" s="677"/>
      <c r="B2683" s="677"/>
      <c r="C2683" s="677"/>
      <c r="D2683" s="896"/>
      <c r="E2683" s="677"/>
      <c r="F2683" s="677"/>
      <c r="G2683" s="677"/>
      <c r="H2683" s="897"/>
      <c r="I2683" s="898"/>
      <c r="J2683" s="898"/>
      <c r="K2683" s="899"/>
      <c r="L2683" s="899"/>
      <c r="M2683" s="899"/>
      <c r="N2683" s="899"/>
      <c r="O2683" s="899"/>
      <c r="P2683" s="899"/>
      <c r="Q2683" s="573"/>
      <c r="R2683" s="573"/>
      <c r="S2683" s="573"/>
      <c r="T2683" s="573"/>
      <c r="U2683" s="573"/>
      <c r="V2683" s="573"/>
      <c r="W2683" s="573"/>
      <c r="X2683" s="573"/>
      <c r="Y2683" s="573"/>
      <c r="Z2683" s="573"/>
    </row>
    <row r="2684" spans="1:26" ht="18.75">
      <c r="A2684" s="677"/>
      <c r="B2684" s="677"/>
      <c r="C2684" s="677"/>
      <c r="D2684" s="896"/>
      <c r="E2684" s="677"/>
      <c r="F2684" s="677"/>
      <c r="G2684" s="677"/>
      <c r="H2684" s="897"/>
      <c r="I2684" s="898"/>
      <c r="J2684" s="898"/>
      <c r="K2684" s="899"/>
      <c r="L2684" s="899"/>
      <c r="M2684" s="899"/>
      <c r="N2684" s="899"/>
      <c r="O2684" s="899"/>
      <c r="P2684" s="899"/>
      <c r="Q2684" s="573"/>
      <c r="R2684" s="573"/>
      <c r="S2684" s="573"/>
      <c r="T2684" s="573"/>
      <c r="U2684" s="573"/>
      <c r="V2684" s="573"/>
      <c r="W2684" s="573"/>
      <c r="X2684" s="573"/>
      <c r="Y2684" s="573"/>
      <c r="Z2684" s="573"/>
    </row>
    <row r="2685" spans="1:26" ht="18.75">
      <c r="A2685" s="677"/>
      <c r="B2685" s="677"/>
      <c r="C2685" s="677"/>
      <c r="D2685" s="896"/>
      <c r="E2685" s="677"/>
      <c r="F2685" s="677"/>
      <c r="G2685" s="677"/>
      <c r="H2685" s="897"/>
      <c r="I2685" s="898"/>
      <c r="J2685" s="898"/>
      <c r="K2685" s="899"/>
      <c r="L2685" s="899"/>
      <c r="M2685" s="899"/>
      <c r="N2685" s="899"/>
      <c r="O2685" s="899"/>
      <c r="P2685" s="899"/>
      <c r="Q2685" s="573"/>
      <c r="R2685" s="573"/>
      <c r="S2685" s="573"/>
      <c r="T2685" s="573"/>
      <c r="U2685" s="573"/>
      <c r="V2685" s="573"/>
      <c r="W2685" s="573"/>
      <c r="X2685" s="573"/>
      <c r="Y2685" s="573"/>
      <c r="Z2685" s="573"/>
    </row>
    <row r="2686" spans="1:26" ht="18.75">
      <c r="A2686" s="677"/>
      <c r="B2686" s="677"/>
      <c r="C2686" s="677"/>
      <c r="D2686" s="896"/>
      <c r="E2686" s="677"/>
      <c r="F2686" s="677"/>
      <c r="G2686" s="677"/>
      <c r="H2686" s="897"/>
      <c r="I2686" s="898"/>
      <c r="J2686" s="898"/>
      <c r="K2686" s="899"/>
      <c r="L2686" s="899"/>
      <c r="M2686" s="899"/>
      <c r="N2686" s="899"/>
      <c r="O2686" s="899"/>
      <c r="P2686" s="899"/>
      <c r="Q2686" s="573"/>
      <c r="R2686" s="573"/>
      <c r="S2686" s="573"/>
      <c r="T2686" s="573"/>
      <c r="U2686" s="573"/>
      <c r="V2686" s="573"/>
      <c r="W2686" s="573"/>
      <c r="X2686" s="573"/>
      <c r="Y2686" s="573"/>
      <c r="Z2686" s="573"/>
    </row>
    <row r="2687" spans="1:26" ht="18.75">
      <c r="A2687" s="677"/>
      <c r="B2687" s="677"/>
      <c r="C2687" s="677"/>
      <c r="D2687" s="896"/>
      <c r="E2687" s="677"/>
      <c r="F2687" s="677"/>
      <c r="G2687" s="677"/>
      <c r="H2687" s="897"/>
      <c r="I2687" s="898"/>
      <c r="J2687" s="898"/>
      <c r="K2687" s="899"/>
      <c r="L2687" s="899"/>
      <c r="M2687" s="899"/>
      <c r="N2687" s="899"/>
      <c r="O2687" s="899"/>
      <c r="P2687" s="899"/>
      <c r="Q2687" s="573"/>
      <c r="R2687" s="573"/>
      <c r="S2687" s="573"/>
      <c r="T2687" s="573"/>
      <c r="U2687" s="573"/>
      <c r="V2687" s="573"/>
      <c r="W2687" s="573"/>
      <c r="X2687" s="573"/>
      <c r="Y2687" s="573"/>
      <c r="Z2687" s="573"/>
    </row>
    <row r="2688" spans="1:26" ht="18.75">
      <c r="A2688" s="677"/>
      <c r="B2688" s="677"/>
      <c r="C2688" s="677"/>
      <c r="D2688" s="896"/>
      <c r="E2688" s="677"/>
      <c r="F2688" s="677"/>
      <c r="G2688" s="677"/>
      <c r="H2688" s="897"/>
      <c r="I2688" s="898"/>
      <c r="J2688" s="898"/>
      <c r="K2688" s="899"/>
      <c r="L2688" s="899"/>
      <c r="M2688" s="899"/>
      <c r="N2688" s="899"/>
      <c r="O2688" s="899"/>
      <c r="P2688" s="899"/>
      <c r="Q2688" s="573"/>
      <c r="R2688" s="573"/>
      <c r="S2688" s="573"/>
      <c r="T2688" s="573"/>
      <c r="U2688" s="573"/>
      <c r="V2688" s="573"/>
      <c r="W2688" s="573"/>
      <c r="X2688" s="573"/>
      <c r="Y2688" s="573"/>
      <c r="Z2688" s="573"/>
    </row>
    <row r="2689" spans="1:26" ht="18.75">
      <c r="A2689" s="677"/>
      <c r="B2689" s="677"/>
      <c r="C2689" s="677"/>
      <c r="D2689" s="896"/>
      <c r="E2689" s="677"/>
      <c r="F2689" s="677"/>
      <c r="G2689" s="677"/>
      <c r="H2689" s="897"/>
      <c r="I2689" s="898"/>
      <c r="J2689" s="898"/>
      <c r="K2689" s="899"/>
      <c r="L2689" s="899"/>
      <c r="M2689" s="899"/>
      <c r="N2689" s="899"/>
      <c r="O2689" s="899"/>
      <c r="P2689" s="899"/>
      <c r="Q2689" s="573"/>
      <c r="R2689" s="573"/>
      <c r="S2689" s="573"/>
      <c r="T2689" s="573"/>
      <c r="U2689" s="573"/>
      <c r="V2689" s="573"/>
      <c r="W2689" s="573"/>
      <c r="X2689" s="573"/>
      <c r="Y2689" s="573"/>
      <c r="Z2689" s="573"/>
    </row>
    <row r="2690" spans="1:26" ht="18.75">
      <c r="A2690" s="677"/>
      <c r="B2690" s="677"/>
      <c r="C2690" s="677"/>
      <c r="D2690" s="896"/>
      <c r="E2690" s="677"/>
      <c r="F2690" s="677"/>
      <c r="G2690" s="677"/>
      <c r="H2690" s="897"/>
      <c r="I2690" s="898"/>
      <c r="J2690" s="898"/>
      <c r="K2690" s="899"/>
      <c r="L2690" s="899"/>
      <c r="M2690" s="899"/>
      <c r="N2690" s="899"/>
      <c r="O2690" s="899"/>
      <c r="P2690" s="899"/>
      <c r="Q2690" s="573"/>
      <c r="R2690" s="573"/>
      <c r="S2690" s="573"/>
      <c r="T2690" s="573"/>
      <c r="U2690" s="573"/>
      <c r="V2690" s="573"/>
      <c r="W2690" s="573"/>
      <c r="X2690" s="573"/>
      <c r="Y2690" s="573"/>
      <c r="Z2690" s="573"/>
    </row>
    <row r="2691" spans="1:26" ht="18.75">
      <c r="A2691" s="677"/>
      <c r="B2691" s="677"/>
      <c r="C2691" s="677"/>
      <c r="D2691" s="896"/>
      <c r="E2691" s="677"/>
      <c r="F2691" s="677"/>
      <c r="G2691" s="677"/>
      <c r="H2691" s="897"/>
      <c r="I2691" s="898"/>
      <c r="J2691" s="898"/>
      <c r="K2691" s="899"/>
      <c r="L2691" s="899"/>
      <c r="M2691" s="899"/>
      <c r="N2691" s="899"/>
      <c r="O2691" s="899"/>
      <c r="P2691" s="899"/>
      <c r="Q2691" s="573"/>
      <c r="R2691" s="573"/>
      <c r="S2691" s="573"/>
      <c r="T2691" s="573"/>
      <c r="U2691" s="573"/>
      <c r="V2691" s="573"/>
      <c r="W2691" s="573"/>
      <c r="X2691" s="573"/>
      <c r="Y2691" s="573"/>
      <c r="Z2691" s="573"/>
    </row>
    <row r="2692" spans="1:26" ht="18.75">
      <c r="A2692" s="677"/>
      <c r="B2692" s="677"/>
      <c r="C2692" s="677"/>
      <c r="D2692" s="896"/>
      <c r="E2692" s="677"/>
      <c r="F2692" s="677"/>
      <c r="G2692" s="677"/>
      <c r="H2692" s="897"/>
      <c r="I2692" s="898"/>
      <c r="J2692" s="898"/>
      <c r="K2692" s="899"/>
      <c r="L2692" s="899"/>
      <c r="M2692" s="899"/>
      <c r="N2692" s="899"/>
      <c r="O2692" s="899"/>
      <c r="P2692" s="899"/>
      <c r="Q2692" s="573"/>
      <c r="R2692" s="573"/>
      <c r="S2692" s="573"/>
      <c r="T2692" s="573"/>
      <c r="U2692" s="573"/>
      <c r="V2692" s="573"/>
      <c r="W2692" s="573"/>
      <c r="X2692" s="573"/>
      <c r="Y2692" s="573"/>
      <c r="Z2692" s="573"/>
    </row>
    <row r="2693" spans="1:26" ht="18.75">
      <c r="A2693" s="677"/>
      <c r="B2693" s="677"/>
      <c r="C2693" s="677"/>
      <c r="D2693" s="896"/>
      <c r="E2693" s="677"/>
      <c r="F2693" s="677"/>
      <c r="G2693" s="677"/>
      <c r="H2693" s="897"/>
      <c r="I2693" s="898"/>
      <c r="J2693" s="898"/>
      <c r="K2693" s="899"/>
      <c r="L2693" s="899"/>
      <c r="M2693" s="899"/>
      <c r="N2693" s="899"/>
      <c r="O2693" s="899"/>
      <c r="P2693" s="899"/>
      <c r="Q2693" s="573"/>
      <c r="R2693" s="573"/>
      <c r="S2693" s="573"/>
      <c r="T2693" s="573"/>
      <c r="U2693" s="573"/>
      <c r="V2693" s="573"/>
      <c r="W2693" s="573"/>
      <c r="X2693" s="573"/>
      <c r="Y2693" s="573"/>
      <c r="Z2693" s="573"/>
    </row>
    <row r="2694" spans="1:26" ht="18.75">
      <c r="A2694" s="677"/>
      <c r="B2694" s="677"/>
      <c r="C2694" s="677"/>
      <c r="D2694" s="896"/>
      <c r="E2694" s="677"/>
      <c r="F2694" s="677"/>
      <c r="G2694" s="677"/>
      <c r="H2694" s="897"/>
      <c r="I2694" s="898"/>
      <c r="J2694" s="898"/>
      <c r="K2694" s="899"/>
      <c r="L2694" s="899"/>
      <c r="M2694" s="899"/>
      <c r="N2694" s="899"/>
      <c r="O2694" s="899"/>
      <c r="P2694" s="899"/>
      <c r="Q2694" s="573"/>
      <c r="R2694" s="573"/>
      <c r="S2694" s="573"/>
      <c r="T2694" s="573"/>
      <c r="U2694" s="573"/>
      <c r="V2694" s="573"/>
      <c r="W2694" s="573"/>
      <c r="X2694" s="573"/>
      <c r="Y2694" s="573"/>
      <c r="Z2694" s="573"/>
    </row>
    <row r="2695" spans="1:26" ht="18.75">
      <c r="A2695" s="677"/>
      <c r="B2695" s="677"/>
      <c r="C2695" s="677"/>
      <c r="D2695" s="896"/>
      <c r="E2695" s="677"/>
      <c r="F2695" s="677"/>
      <c r="G2695" s="677"/>
      <c r="H2695" s="897"/>
      <c r="I2695" s="898"/>
      <c r="J2695" s="898"/>
      <c r="K2695" s="899"/>
      <c r="L2695" s="899"/>
      <c r="M2695" s="899"/>
      <c r="N2695" s="899"/>
      <c r="O2695" s="899"/>
      <c r="P2695" s="899"/>
      <c r="Q2695" s="573"/>
      <c r="R2695" s="573"/>
      <c r="S2695" s="573"/>
      <c r="T2695" s="573"/>
      <c r="U2695" s="573"/>
      <c r="V2695" s="573"/>
      <c r="W2695" s="573"/>
      <c r="X2695" s="573"/>
      <c r="Y2695" s="573"/>
      <c r="Z2695" s="573"/>
    </row>
    <row r="2696" spans="1:26" ht="18.75">
      <c r="A2696" s="677"/>
      <c r="B2696" s="677"/>
      <c r="C2696" s="677"/>
      <c r="D2696" s="896"/>
      <c r="E2696" s="677"/>
      <c r="F2696" s="677"/>
      <c r="G2696" s="677"/>
      <c r="H2696" s="897"/>
      <c r="I2696" s="898"/>
      <c r="J2696" s="898"/>
      <c r="K2696" s="899"/>
      <c r="L2696" s="899"/>
      <c r="M2696" s="899"/>
      <c r="N2696" s="899"/>
      <c r="O2696" s="899"/>
      <c r="P2696" s="899"/>
      <c r="Q2696" s="573"/>
      <c r="R2696" s="573"/>
      <c r="S2696" s="573"/>
      <c r="T2696" s="573"/>
      <c r="U2696" s="573"/>
      <c r="V2696" s="573"/>
      <c r="W2696" s="573"/>
      <c r="X2696" s="573"/>
      <c r="Y2696" s="573"/>
      <c r="Z2696" s="573"/>
    </row>
    <row r="2697" spans="1:26" ht="18.75">
      <c r="A2697" s="677"/>
      <c r="B2697" s="677"/>
      <c r="C2697" s="677"/>
      <c r="D2697" s="896"/>
      <c r="E2697" s="677"/>
      <c r="F2697" s="677"/>
      <c r="G2697" s="677"/>
      <c r="H2697" s="897"/>
      <c r="I2697" s="898"/>
      <c r="J2697" s="898"/>
      <c r="K2697" s="899"/>
      <c r="L2697" s="899"/>
      <c r="M2697" s="899"/>
      <c r="N2697" s="899"/>
      <c r="O2697" s="899"/>
      <c r="P2697" s="899"/>
      <c r="Q2697" s="573"/>
      <c r="R2697" s="573"/>
      <c r="S2697" s="573"/>
      <c r="T2697" s="573"/>
      <c r="U2697" s="573"/>
      <c r="V2697" s="573"/>
      <c r="W2697" s="573"/>
      <c r="X2697" s="573"/>
      <c r="Y2697" s="573"/>
      <c r="Z2697" s="573"/>
    </row>
    <row r="2698" spans="1:26" ht="18.75">
      <c r="A2698" s="677"/>
      <c r="B2698" s="677"/>
      <c r="C2698" s="677"/>
      <c r="D2698" s="896"/>
      <c r="E2698" s="677"/>
      <c r="F2698" s="677"/>
      <c r="G2698" s="677"/>
      <c r="H2698" s="897"/>
      <c r="I2698" s="898"/>
      <c r="J2698" s="898"/>
      <c r="K2698" s="899"/>
      <c r="L2698" s="899"/>
      <c r="M2698" s="899"/>
      <c r="N2698" s="899"/>
      <c r="O2698" s="899"/>
      <c r="P2698" s="899"/>
      <c r="Q2698" s="573"/>
      <c r="R2698" s="573"/>
      <c r="S2698" s="573"/>
      <c r="T2698" s="573"/>
      <c r="U2698" s="573"/>
      <c r="V2698" s="573"/>
      <c r="W2698" s="573"/>
      <c r="X2698" s="573"/>
      <c r="Y2698" s="573"/>
      <c r="Z2698" s="573"/>
    </row>
    <row r="2699" spans="1:26" ht="18.75">
      <c r="A2699" s="677"/>
      <c r="B2699" s="677"/>
      <c r="C2699" s="677"/>
      <c r="D2699" s="896"/>
      <c r="E2699" s="677"/>
      <c r="F2699" s="677"/>
      <c r="G2699" s="677"/>
      <c r="H2699" s="897"/>
      <c r="I2699" s="898"/>
      <c r="J2699" s="898"/>
      <c r="K2699" s="899"/>
      <c r="L2699" s="899"/>
      <c r="M2699" s="899"/>
      <c r="N2699" s="899"/>
      <c r="O2699" s="899"/>
      <c r="P2699" s="899"/>
      <c r="Q2699" s="573"/>
      <c r="R2699" s="573"/>
      <c r="S2699" s="573"/>
      <c r="T2699" s="573"/>
      <c r="U2699" s="573"/>
      <c r="V2699" s="573"/>
      <c r="W2699" s="573"/>
      <c r="X2699" s="573"/>
      <c r="Y2699" s="573"/>
      <c r="Z2699" s="573"/>
    </row>
    <row r="2700" spans="1:26" ht="18.75">
      <c r="A2700" s="677"/>
      <c r="B2700" s="677"/>
      <c r="C2700" s="677"/>
      <c r="D2700" s="896"/>
      <c r="E2700" s="677"/>
      <c r="F2700" s="677"/>
      <c r="G2700" s="677"/>
      <c r="H2700" s="897"/>
      <c r="I2700" s="898"/>
      <c r="J2700" s="898"/>
      <c r="K2700" s="899"/>
      <c r="L2700" s="899"/>
      <c r="M2700" s="899"/>
      <c r="N2700" s="899"/>
      <c r="O2700" s="899"/>
      <c r="P2700" s="899"/>
      <c r="Q2700" s="573"/>
      <c r="R2700" s="573"/>
      <c r="S2700" s="573"/>
      <c r="T2700" s="573"/>
      <c r="U2700" s="573"/>
      <c r="V2700" s="573"/>
      <c r="W2700" s="573"/>
      <c r="X2700" s="573"/>
      <c r="Y2700" s="573"/>
      <c r="Z2700" s="573"/>
    </row>
    <row r="2701" spans="1:26" ht="18.75">
      <c r="A2701" s="677"/>
      <c r="B2701" s="677"/>
      <c r="C2701" s="677"/>
      <c r="D2701" s="896"/>
      <c r="E2701" s="677"/>
      <c r="F2701" s="677"/>
      <c r="G2701" s="677"/>
      <c r="H2701" s="897"/>
      <c r="I2701" s="898"/>
      <c r="J2701" s="898"/>
      <c r="K2701" s="899"/>
      <c r="L2701" s="899"/>
      <c r="M2701" s="899"/>
      <c r="N2701" s="899"/>
      <c r="O2701" s="899"/>
      <c r="P2701" s="899"/>
      <c r="Q2701" s="573"/>
      <c r="R2701" s="573"/>
      <c r="S2701" s="573"/>
      <c r="T2701" s="573"/>
      <c r="U2701" s="573"/>
      <c r="V2701" s="573"/>
      <c r="W2701" s="573"/>
      <c r="X2701" s="573"/>
      <c r="Y2701" s="573"/>
      <c r="Z2701" s="573"/>
    </row>
    <row r="2702" spans="1:26" ht="18.75">
      <c r="A2702" s="677"/>
      <c r="B2702" s="677"/>
      <c r="C2702" s="677"/>
      <c r="D2702" s="896"/>
      <c r="E2702" s="677"/>
      <c r="F2702" s="677"/>
      <c r="G2702" s="677"/>
      <c r="H2702" s="897"/>
      <c r="I2702" s="898"/>
      <c r="J2702" s="898"/>
      <c r="K2702" s="899"/>
      <c r="L2702" s="899"/>
      <c r="M2702" s="899"/>
      <c r="N2702" s="899"/>
      <c r="O2702" s="899"/>
      <c r="P2702" s="899"/>
      <c r="Q2702" s="573"/>
      <c r="R2702" s="573"/>
      <c r="S2702" s="573"/>
      <c r="T2702" s="573"/>
      <c r="U2702" s="573"/>
      <c r="V2702" s="573"/>
      <c r="W2702" s="573"/>
      <c r="X2702" s="573"/>
      <c r="Y2702" s="573"/>
      <c r="Z2702" s="573"/>
    </row>
    <row r="2703" spans="1:26" ht="18.75">
      <c r="A2703" s="677"/>
      <c r="B2703" s="677"/>
      <c r="C2703" s="677"/>
      <c r="D2703" s="896"/>
      <c r="E2703" s="677"/>
      <c r="F2703" s="677"/>
      <c r="G2703" s="677"/>
      <c r="H2703" s="897"/>
      <c r="I2703" s="898"/>
      <c r="J2703" s="898"/>
      <c r="K2703" s="899"/>
      <c r="L2703" s="899"/>
      <c r="M2703" s="899"/>
      <c r="N2703" s="899"/>
      <c r="O2703" s="899"/>
      <c r="P2703" s="899"/>
      <c r="Q2703" s="573"/>
      <c r="R2703" s="573"/>
      <c r="S2703" s="573"/>
      <c r="T2703" s="573"/>
      <c r="U2703" s="573"/>
      <c r="V2703" s="573"/>
      <c r="W2703" s="573"/>
      <c r="X2703" s="573"/>
      <c r="Y2703" s="573"/>
      <c r="Z2703" s="573"/>
    </row>
    <row r="2704" spans="1:26" ht="18.75">
      <c r="A2704" s="677"/>
      <c r="B2704" s="677"/>
      <c r="C2704" s="677"/>
      <c r="D2704" s="896"/>
      <c r="E2704" s="677"/>
      <c r="F2704" s="677"/>
      <c r="G2704" s="677"/>
      <c r="H2704" s="897"/>
      <c r="I2704" s="898"/>
      <c r="J2704" s="898"/>
      <c r="K2704" s="899"/>
      <c r="L2704" s="899"/>
      <c r="M2704" s="899"/>
      <c r="N2704" s="899"/>
      <c r="O2704" s="899"/>
      <c r="P2704" s="899"/>
      <c r="Q2704" s="573"/>
      <c r="R2704" s="573"/>
      <c r="S2704" s="573"/>
      <c r="T2704" s="573"/>
      <c r="U2704" s="573"/>
      <c r="V2704" s="573"/>
      <c r="W2704" s="573"/>
      <c r="X2704" s="573"/>
      <c r="Y2704" s="573"/>
      <c r="Z2704" s="573"/>
    </row>
    <row r="2705" spans="1:26" ht="18.75">
      <c r="A2705" s="677"/>
      <c r="B2705" s="677"/>
      <c r="C2705" s="677"/>
      <c r="D2705" s="896"/>
      <c r="E2705" s="677"/>
      <c r="F2705" s="677"/>
      <c r="G2705" s="677"/>
      <c r="H2705" s="897"/>
      <c r="I2705" s="898"/>
      <c r="J2705" s="898"/>
      <c r="K2705" s="899"/>
      <c r="L2705" s="899"/>
      <c r="M2705" s="899"/>
      <c r="N2705" s="899"/>
      <c r="O2705" s="899"/>
      <c r="P2705" s="899"/>
      <c r="Q2705" s="573"/>
      <c r="R2705" s="573"/>
      <c r="S2705" s="573"/>
      <c r="T2705" s="573"/>
      <c r="U2705" s="573"/>
      <c r="V2705" s="573"/>
      <c r="W2705" s="573"/>
      <c r="X2705" s="573"/>
      <c r="Y2705" s="573"/>
      <c r="Z2705" s="573"/>
    </row>
    <row r="2706" spans="1:26" ht="18.75">
      <c r="A2706" s="677"/>
      <c r="B2706" s="677"/>
      <c r="C2706" s="677"/>
      <c r="D2706" s="896"/>
      <c r="E2706" s="677"/>
      <c r="F2706" s="677"/>
      <c r="G2706" s="677"/>
      <c r="H2706" s="897"/>
      <c r="I2706" s="898"/>
      <c r="J2706" s="898"/>
      <c r="K2706" s="899"/>
      <c r="L2706" s="899"/>
      <c r="M2706" s="899"/>
      <c r="N2706" s="899"/>
      <c r="O2706" s="899"/>
      <c r="P2706" s="899"/>
      <c r="Q2706" s="573"/>
      <c r="R2706" s="573"/>
      <c r="S2706" s="573"/>
      <c r="T2706" s="573"/>
      <c r="U2706" s="573"/>
      <c r="V2706" s="573"/>
      <c r="W2706" s="573"/>
      <c r="X2706" s="573"/>
      <c r="Y2706" s="573"/>
      <c r="Z2706" s="573"/>
    </row>
    <row r="2707" spans="1:26" ht="18.75">
      <c r="A2707" s="677"/>
      <c r="B2707" s="677"/>
      <c r="C2707" s="677"/>
      <c r="D2707" s="896"/>
      <c r="E2707" s="677"/>
      <c r="F2707" s="677"/>
      <c r="G2707" s="677"/>
      <c r="H2707" s="897"/>
      <c r="I2707" s="898"/>
      <c r="J2707" s="898"/>
      <c r="K2707" s="899"/>
      <c r="L2707" s="899"/>
      <c r="M2707" s="899"/>
      <c r="N2707" s="899"/>
      <c r="O2707" s="899"/>
      <c r="P2707" s="899"/>
      <c r="Q2707" s="573"/>
      <c r="R2707" s="573"/>
      <c r="S2707" s="573"/>
      <c r="T2707" s="573"/>
      <c r="U2707" s="573"/>
      <c r="V2707" s="573"/>
      <c r="W2707" s="573"/>
      <c r="X2707" s="573"/>
      <c r="Y2707" s="573"/>
      <c r="Z2707" s="573"/>
    </row>
    <row r="2708" spans="1:26" ht="18.75">
      <c r="A2708" s="677"/>
      <c r="B2708" s="677"/>
      <c r="C2708" s="677"/>
      <c r="D2708" s="896"/>
      <c r="E2708" s="677"/>
      <c r="F2708" s="677"/>
      <c r="G2708" s="677"/>
      <c r="H2708" s="897"/>
      <c r="I2708" s="898"/>
      <c r="J2708" s="898"/>
      <c r="K2708" s="899"/>
      <c r="L2708" s="899"/>
      <c r="M2708" s="899"/>
      <c r="N2708" s="899"/>
      <c r="O2708" s="899"/>
      <c r="P2708" s="899"/>
      <c r="Q2708" s="573"/>
      <c r="R2708" s="573"/>
      <c r="S2708" s="573"/>
      <c r="T2708" s="573"/>
      <c r="U2708" s="573"/>
      <c r="V2708" s="573"/>
      <c r="W2708" s="573"/>
      <c r="X2708" s="573"/>
      <c r="Y2708" s="573"/>
      <c r="Z2708" s="573"/>
    </row>
    <row r="2709" spans="1:26" ht="18.75">
      <c r="A2709" s="677"/>
      <c r="B2709" s="677"/>
      <c r="C2709" s="677"/>
      <c r="D2709" s="896"/>
      <c r="E2709" s="677"/>
      <c r="F2709" s="677"/>
      <c r="G2709" s="677"/>
      <c r="H2709" s="897"/>
      <c r="I2709" s="898"/>
      <c r="J2709" s="898"/>
      <c r="K2709" s="899"/>
      <c r="L2709" s="899"/>
      <c r="M2709" s="899"/>
      <c r="N2709" s="899"/>
      <c r="O2709" s="899"/>
      <c r="P2709" s="899"/>
      <c r="Q2709" s="573"/>
      <c r="R2709" s="573"/>
      <c r="S2709" s="573"/>
      <c r="T2709" s="573"/>
      <c r="U2709" s="573"/>
      <c r="V2709" s="573"/>
      <c r="W2709" s="573"/>
      <c r="X2709" s="573"/>
      <c r="Y2709" s="573"/>
      <c r="Z2709" s="573"/>
    </row>
    <row r="2710" spans="1:26" ht="18.75">
      <c r="A2710" s="677"/>
      <c r="B2710" s="677"/>
      <c r="C2710" s="677"/>
      <c r="D2710" s="896"/>
      <c r="E2710" s="677"/>
      <c r="F2710" s="677"/>
      <c r="G2710" s="677"/>
      <c r="H2710" s="897"/>
      <c r="I2710" s="898"/>
      <c r="J2710" s="898"/>
      <c r="K2710" s="899"/>
      <c r="L2710" s="899"/>
      <c r="M2710" s="899"/>
      <c r="N2710" s="899"/>
      <c r="O2710" s="899"/>
      <c r="P2710" s="899"/>
      <c r="Q2710" s="573"/>
      <c r="R2710" s="573"/>
      <c r="S2710" s="573"/>
      <c r="T2710" s="573"/>
      <c r="U2710" s="573"/>
      <c r="V2710" s="573"/>
      <c r="W2710" s="573"/>
      <c r="X2710" s="573"/>
      <c r="Y2710" s="573"/>
      <c r="Z2710" s="573"/>
    </row>
    <row r="2711" spans="1:26" ht="18.75">
      <c r="A2711" s="677"/>
      <c r="B2711" s="677"/>
      <c r="C2711" s="677"/>
      <c r="D2711" s="896"/>
      <c r="E2711" s="677"/>
      <c r="F2711" s="677"/>
      <c r="G2711" s="677"/>
      <c r="H2711" s="897"/>
      <c r="I2711" s="898"/>
      <c r="J2711" s="898"/>
      <c r="K2711" s="899"/>
      <c r="L2711" s="899"/>
      <c r="M2711" s="899"/>
      <c r="N2711" s="899"/>
      <c r="O2711" s="899"/>
      <c r="P2711" s="899"/>
      <c r="Q2711" s="573"/>
      <c r="R2711" s="573"/>
      <c r="S2711" s="573"/>
      <c r="T2711" s="573"/>
      <c r="U2711" s="573"/>
      <c r="V2711" s="573"/>
      <c r="W2711" s="573"/>
      <c r="X2711" s="573"/>
      <c r="Y2711" s="573"/>
      <c r="Z2711" s="573"/>
    </row>
    <row r="2712" spans="1:26" ht="18.75">
      <c r="A2712" s="677"/>
      <c r="B2712" s="677"/>
      <c r="C2712" s="677"/>
      <c r="D2712" s="896"/>
      <c r="E2712" s="677"/>
      <c r="F2712" s="677"/>
      <c r="G2712" s="677"/>
      <c r="H2712" s="897"/>
      <c r="I2712" s="898"/>
      <c r="J2712" s="898"/>
      <c r="K2712" s="899"/>
      <c r="L2712" s="899"/>
      <c r="M2712" s="899"/>
      <c r="N2712" s="899"/>
      <c r="O2712" s="899"/>
      <c r="P2712" s="899"/>
      <c r="Q2712" s="573"/>
      <c r="R2712" s="573"/>
      <c r="S2712" s="573"/>
      <c r="T2712" s="573"/>
      <c r="U2712" s="573"/>
      <c r="V2712" s="573"/>
      <c r="W2712" s="573"/>
      <c r="X2712" s="573"/>
      <c r="Y2712" s="573"/>
      <c r="Z2712" s="573"/>
    </row>
    <row r="2713" spans="1:26" ht="18.75">
      <c r="A2713" s="677"/>
      <c r="B2713" s="677"/>
      <c r="C2713" s="677"/>
      <c r="D2713" s="896"/>
      <c r="E2713" s="677"/>
      <c r="F2713" s="677"/>
      <c r="G2713" s="677"/>
      <c r="H2713" s="897"/>
      <c r="I2713" s="898"/>
      <c r="J2713" s="898"/>
      <c r="K2713" s="899"/>
      <c r="L2713" s="899"/>
      <c r="M2713" s="899"/>
      <c r="N2713" s="899"/>
      <c r="O2713" s="899"/>
      <c r="P2713" s="899"/>
      <c r="Q2713" s="573"/>
      <c r="R2713" s="573"/>
      <c r="S2713" s="573"/>
      <c r="T2713" s="573"/>
      <c r="U2713" s="573"/>
      <c r="V2713" s="573"/>
      <c r="W2713" s="573"/>
      <c r="X2713" s="573"/>
      <c r="Y2713" s="573"/>
      <c r="Z2713" s="573"/>
    </row>
    <row r="2714" spans="1:26" ht="18.75">
      <c r="A2714" s="677"/>
      <c r="B2714" s="677"/>
      <c r="C2714" s="677"/>
      <c r="D2714" s="896"/>
      <c r="E2714" s="677"/>
      <c r="F2714" s="677"/>
      <c r="G2714" s="677"/>
      <c r="H2714" s="897"/>
      <c r="I2714" s="898"/>
      <c r="J2714" s="898"/>
      <c r="K2714" s="899"/>
      <c r="L2714" s="899"/>
      <c r="M2714" s="899"/>
      <c r="N2714" s="899"/>
      <c r="O2714" s="899"/>
      <c r="P2714" s="899"/>
      <c r="Q2714" s="573"/>
      <c r="R2714" s="573"/>
      <c r="S2714" s="573"/>
      <c r="T2714" s="573"/>
      <c r="U2714" s="573"/>
      <c r="V2714" s="573"/>
      <c r="W2714" s="573"/>
      <c r="X2714" s="573"/>
      <c r="Y2714" s="573"/>
      <c r="Z2714" s="573"/>
    </row>
    <row r="2715" spans="1:26" ht="18.75">
      <c r="A2715" s="677"/>
      <c r="B2715" s="677"/>
      <c r="C2715" s="677"/>
      <c r="D2715" s="896"/>
      <c r="E2715" s="677"/>
      <c r="F2715" s="677"/>
      <c r="G2715" s="677"/>
      <c r="H2715" s="897"/>
      <c r="I2715" s="898"/>
      <c r="J2715" s="898"/>
      <c r="K2715" s="899"/>
      <c r="L2715" s="899"/>
      <c r="M2715" s="899"/>
      <c r="N2715" s="899"/>
      <c r="O2715" s="899"/>
      <c r="P2715" s="899"/>
      <c r="Q2715" s="573"/>
      <c r="R2715" s="573"/>
      <c r="S2715" s="573"/>
      <c r="T2715" s="573"/>
      <c r="U2715" s="573"/>
      <c r="V2715" s="573"/>
      <c r="W2715" s="573"/>
      <c r="X2715" s="573"/>
      <c r="Y2715" s="573"/>
      <c r="Z2715" s="573"/>
    </row>
    <row r="2716" spans="1:26" ht="18.75">
      <c r="A2716" s="677"/>
      <c r="B2716" s="677"/>
      <c r="C2716" s="677"/>
      <c r="D2716" s="896"/>
      <c r="E2716" s="677"/>
      <c r="F2716" s="677"/>
      <c r="G2716" s="677"/>
      <c r="H2716" s="897"/>
      <c r="I2716" s="898"/>
      <c r="J2716" s="898"/>
      <c r="K2716" s="899"/>
      <c r="L2716" s="899"/>
      <c r="M2716" s="899"/>
      <c r="N2716" s="899"/>
      <c r="O2716" s="899"/>
      <c r="P2716" s="899"/>
      <c r="Q2716" s="573"/>
      <c r="R2716" s="573"/>
      <c r="S2716" s="573"/>
      <c r="T2716" s="573"/>
      <c r="U2716" s="573"/>
      <c r="V2716" s="573"/>
      <c r="W2716" s="573"/>
      <c r="X2716" s="573"/>
      <c r="Y2716" s="573"/>
      <c r="Z2716" s="573"/>
    </row>
    <row r="2717" spans="1:26" ht="18.75">
      <c r="A2717" s="677"/>
      <c r="B2717" s="677"/>
      <c r="C2717" s="677"/>
      <c r="D2717" s="896"/>
      <c r="E2717" s="677"/>
      <c r="F2717" s="677"/>
      <c r="G2717" s="677"/>
      <c r="H2717" s="897"/>
      <c r="I2717" s="898"/>
      <c r="J2717" s="898"/>
      <c r="K2717" s="899"/>
      <c r="L2717" s="899"/>
      <c r="M2717" s="899"/>
      <c r="N2717" s="899"/>
      <c r="O2717" s="899"/>
      <c r="P2717" s="899"/>
      <c r="Q2717" s="573"/>
      <c r="R2717" s="573"/>
      <c r="S2717" s="573"/>
      <c r="T2717" s="573"/>
      <c r="U2717" s="573"/>
      <c r="V2717" s="573"/>
      <c r="W2717" s="573"/>
      <c r="X2717" s="573"/>
      <c r="Y2717" s="573"/>
      <c r="Z2717" s="573"/>
    </row>
    <row r="2718" spans="1:26" ht="18.75">
      <c r="A2718" s="677"/>
      <c r="B2718" s="677"/>
      <c r="C2718" s="677"/>
      <c r="D2718" s="896"/>
      <c r="E2718" s="677"/>
      <c r="F2718" s="677"/>
      <c r="G2718" s="677"/>
      <c r="H2718" s="897"/>
      <c r="I2718" s="898"/>
      <c r="J2718" s="898"/>
      <c r="K2718" s="899"/>
      <c r="L2718" s="899"/>
      <c r="M2718" s="899"/>
      <c r="N2718" s="899"/>
      <c r="O2718" s="899"/>
      <c r="P2718" s="899"/>
      <c r="Q2718" s="573"/>
      <c r="R2718" s="573"/>
      <c r="S2718" s="573"/>
      <c r="T2718" s="573"/>
      <c r="U2718" s="573"/>
      <c r="V2718" s="573"/>
      <c r="W2718" s="573"/>
      <c r="X2718" s="573"/>
      <c r="Y2718" s="573"/>
      <c r="Z2718" s="573"/>
    </row>
    <row r="2719" spans="1:26" ht="18.75">
      <c r="A2719" s="677"/>
      <c r="B2719" s="677"/>
      <c r="C2719" s="677"/>
      <c r="D2719" s="896"/>
      <c r="E2719" s="677"/>
      <c r="F2719" s="677"/>
      <c r="G2719" s="677"/>
      <c r="H2719" s="897"/>
      <c r="I2719" s="898"/>
      <c r="J2719" s="898"/>
      <c r="K2719" s="899"/>
      <c r="L2719" s="899"/>
      <c r="M2719" s="899"/>
      <c r="N2719" s="899"/>
      <c r="O2719" s="899"/>
      <c r="P2719" s="899"/>
      <c r="Q2719" s="573"/>
      <c r="R2719" s="573"/>
      <c r="S2719" s="573"/>
      <c r="T2719" s="573"/>
      <c r="U2719" s="573"/>
      <c r="V2719" s="573"/>
      <c r="W2719" s="573"/>
      <c r="X2719" s="573"/>
      <c r="Y2719" s="573"/>
      <c r="Z2719" s="573"/>
    </row>
    <row r="2720" spans="1:26" ht="18.75">
      <c r="A2720" s="677"/>
      <c r="B2720" s="677"/>
      <c r="C2720" s="677"/>
      <c r="D2720" s="896"/>
      <c r="E2720" s="677"/>
      <c r="F2720" s="677"/>
      <c r="G2720" s="677"/>
      <c r="H2720" s="897"/>
      <c r="I2720" s="898"/>
      <c r="J2720" s="898"/>
      <c r="K2720" s="899"/>
      <c r="L2720" s="899"/>
      <c r="M2720" s="899"/>
      <c r="N2720" s="899"/>
      <c r="O2720" s="899"/>
      <c r="P2720" s="899"/>
      <c r="Q2720" s="573"/>
      <c r="R2720" s="573"/>
      <c r="S2720" s="573"/>
      <c r="T2720" s="573"/>
      <c r="U2720" s="573"/>
      <c r="V2720" s="573"/>
      <c r="W2720" s="573"/>
      <c r="X2720" s="573"/>
      <c r="Y2720" s="573"/>
      <c r="Z2720" s="573"/>
    </row>
    <row r="2721" spans="1:26" ht="18.75">
      <c r="A2721" s="677"/>
      <c r="B2721" s="677"/>
      <c r="C2721" s="677"/>
      <c r="D2721" s="896"/>
      <c r="E2721" s="677"/>
      <c r="F2721" s="677"/>
      <c r="G2721" s="677"/>
      <c r="H2721" s="897"/>
      <c r="I2721" s="898"/>
      <c r="J2721" s="898"/>
      <c r="K2721" s="899"/>
      <c r="L2721" s="899"/>
      <c r="M2721" s="899"/>
      <c r="N2721" s="899"/>
      <c r="O2721" s="899"/>
      <c r="P2721" s="899"/>
      <c r="Q2721" s="573"/>
      <c r="R2721" s="573"/>
      <c r="S2721" s="573"/>
      <c r="T2721" s="573"/>
      <c r="U2721" s="573"/>
      <c r="V2721" s="573"/>
      <c r="W2721" s="573"/>
      <c r="X2721" s="573"/>
      <c r="Y2721" s="573"/>
      <c r="Z2721" s="573"/>
    </row>
    <row r="2722" spans="1:26" ht="18.75">
      <c r="A2722" s="677"/>
      <c r="B2722" s="677"/>
      <c r="C2722" s="677"/>
      <c r="D2722" s="896"/>
      <c r="E2722" s="677"/>
      <c r="F2722" s="677"/>
      <c r="G2722" s="677"/>
      <c r="H2722" s="897"/>
      <c r="I2722" s="898"/>
      <c r="J2722" s="898"/>
      <c r="K2722" s="899"/>
      <c r="L2722" s="899"/>
      <c r="M2722" s="899"/>
      <c r="N2722" s="899"/>
      <c r="O2722" s="899"/>
      <c r="P2722" s="899"/>
      <c r="Q2722" s="573"/>
      <c r="R2722" s="573"/>
      <c r="S2722" s="573"/>
      <c r="T2722" s="573"/>
      <c r="U2722" s="573"/>
      <c r="V2722" s="573"/>
      <c r="W2722" s="573"/>
      <c r="X2722" s="573"/>
      <c r="Y2722" s="573"/>
      <c r="Z2722" s="573"/>
    </row>
    <row r="2723" spans="1:26" ht="18.75">
      <c r="A2723" s="677"/>
      <c r="B2723" s="677"/>
      <c r="C2723" s="677"/>
      <c r="D2723" s="896"/>
      <c r="E2723" s="677"/>
      <c r="F2723" s="677"/>
      <c r="G2723" s="677"/>
      <c r="H2723" s="897"/>
      <c r="I2723" s="898"/>
      <c r="J2723" s="898"/>
      <c r="K2723" s="899"/>
      <c r="L2723" s="899"/>
      <c r="M2723" s="899"/>
      <c r="N2723" s="899"/>
      <c r="O2723" s="899"/>
      <c r="P2723" s="899"/>
      <c r="Q2723" s="573"/>
      <c r="R2723" s="573"/>
      <c r="S2723" s="573"/>
      <c r="T2723" s="573"/>
      <c r="U2723" s="573"/>
      <c r="V2723" s="573"/>
      <c r="W2723" s="573"/>
      <c r="X2723" s="573"/>
      <c r="Y2723" s="573"/>
      <c r="Z2723" s="573"/>
    </row>
    <row r="2724" spans="1:26" ht="18.75">
      <c r="A2724" s="677"/>
      <c r="B2724" s="677"/>
      <c r="C2724" s="677"/>
      <c r="D2724" s="896"/>
      <c r="E2724" s="677"/>
      <c r="F2724" s="677"/>
      <c r="G2724" s="677"/>
      <c r="H2724" s="897"/>
      <c r="I2724" s="898"/>
      <c r="J2724" s="898"/>
      <c r="K2724" s="899"/>
      <c r="L2724" s="899"/>
      <c r="M2724" s="899"/>
      <c r="N2724" s="899"/>
      <c r="O2724" s="899"/>
      <c r="P2724" s="899"/>
      <c r="Q2724" s="573"/>
      <c r="R2724" s="573"/>
      <c r="S2724" s="573"/>
      <c r="T2724" s="573"/>
      <c r="U2724" s="573"/>
      <c r="V2724" s="573"/>
      <c r="W2724" s="573"/>
      <c r="X2724" s="573"/>
      <c r="Y2724" s="573"/>
      <c r="Z2724" s="573"/>
    </row>
    <row r="2725" spans="1:26" ht="18.75">
      <c r="A2725" s="677"/>
      <c r="B2725" s="677"/>
      <c r="C2725" s="677"/>
      <c r="D2725" s="896"/>
      <c r="E2725" s="677"/>
      <c r="F2725" s="677"/>
      <c r="G2725" s="677"/>
      <c r="H2725" s="897"/>
      <c r="I2725" s="898"/>
      <c r="J2725" s="898"/>
      <c r="K2725" s="899"/>
      <c r="L2725" s="899"/>
      <c r="M2725" s="899"/>
      <c r="N2725" s="899"/>
      <c r="O2725" s="899"/>
      <c r="P2725" s="899"/>
      <c r="Q2725" s="573"/>
      <c r="R2725" s="573"/>
      <c r="S2725" s="573"/>
      <c r="T2725" s="573"/>
      <c r="U2725" s="573"/>
      <c r="V2725" s="573"/>
      <c r="W2725" s="573"/>
      <c r="X2725" s="573"/>
      <c r="Y2725" s="573"/>
      <c r="Z2725" s="573"/>
    </row>
    <row r="2726" spans="1:26" ht="18.75">
      <c r="A2726" s="677"/>
      <c r="B2726" s="677"/>
      <c r="C2726" s="677"/>
      <c r="D2726" s="896"/>
      <c r="E2726" s="677"/>
      <c r="F2726" s="677"/>
      <c r="G2726" s="677"/>
      <c r="H2726" s="897"/>
      <c r="I2726" s="898"/>
      <c r="J2726" s="898"/>
      <c r="K2726" s="899"/>
      <c r="L2726" s="899"/>
      <c r="M2726" s="899"/>
      <c r="N2726" s="899"/>
      <c r="O2726" s="899"/>
      <c r="P2726" s="899"/>
      <c r="Q2726" s="573"/>
      <c r="R2726" s="573"/>
      <c r="S2726" s="573"/>
      <c r="T2726" s="573"/>
      <c r="U2726" s="573"/>
      <c r="V2726" s="573"/>
      <c r="W2726" s="573"/>
      <c r="X2726" s="573"/>
      <c r="Y2726" s="573"/>
      <c r="Z2726" s="573"/>
    </row>
    <row r="2727" spans="1:26" ht="18.75">
      <c r="A2727" s="677"/>
      <c r="B2727" s="677"/>
      <c r="C2727" s="677"/>
      <c r="D2727" s="896"/>
      <c r="E2727" s="677"/>
      <c r="F2727" s="677"/>
      <c r="G2727" s="677"/>
      <c r="H2727" s="897"/>
      <c r="I2727" s="898"/>
      <c r="J2727" s="898"/>
      <c r="K2727" s="899"/>
      <c r="L2727" s="899"/>
      <c r="M2727" s="899"/>
      <c r="N2727" s="899"/>
      <c r="O2727" s="899"/>
      <c r="P2727" s="899"/>
      <c r="Q2727" s="573"/>
      <c r="R2727" s="573"/>
      <c r="S2727" s="573"/>
      <c r="T2727" s="573"/>
      <c r="U2727" s="573"/>
      <c r="V2727" s="573"/>
      <c r="W2727" s="573"/>
      <c r="X2727" s="573"/>
      <c r="Y2727" s="573"/>
      <c r="Z2727" s="573"/>
    </row>
    <row r="2728" spans="1:26" ht="18.75">
      <c r="A2728" s="677"/>
      <c r="B2728" s="677"/>
      <c r="C2728" s="677"/>
      <c r="D2728" s="896"/>
      <c r="E2728" s="677"/>
      <c r="F2728" s="677"/>
      <c r="G2728" s="677"/>
      <c r="H2728" s="897"/>
      <c r="I2728" s="898"/>
      <c r="J2728" s="898"/>
      <c r="K2728" s="899"/>
      <c r="L2728" s="899"/>
      <c r="M2728" s="899"/>
      <c r="N2728" s="899"/>
      <c r="O2728" s="899"/>
      <c r="P2728" s="899"/>
      <c r="Q2728" s="573"/>
      <c r="R2728" s="573"/>
      <c r="S2728" s="573"/>
      <c r="T2728" s="573"/>
      <c r="U2728" s="573"/>
      <c r="V2728" s="573"/>
      <c r="W2728" s="573"/>
      <c r="X2728" s="573"/>
      <c r="Y2728" s="573"/>
      <c r="Z2728" s="573"/>
    </row>
    <row r="2729" spans="1:26" ht="18.75">
      <c r="A2729" s="677"/>
      <c r="B2729" s="677"/>
      <c r="C2729" s="677"/>
      <c r="D2729" s="896"/>
      <c r="E2729" s="677"/>
      <c r="F2729" s="677"/>
      <c r="G2729" s="677"/>
      <c r="H2729" s="897"/>
      <c r="I2729" s="898"/>
      <c r="J2729" s="898"/>
      <c r="K2729" s="899"/>
      <c r="L2729" s="899"/>
      <c r="M2729" s="899"/>
      <c r="N2729" s="899"/>
      <c r="O2729" s="899"/>
      <c r="P2729" s="899"/>
      <c r="Q2729" s="573"/>
      <c r="R2729" s="573"/>
      <c r="S2729" s="573"/>
      <c r="T2729" s="573"/>
      <c r="U2729" s="573"/>
      <c r="V2729" s="573"/>
      <c r="W2729" s="573"/>
      <c r="X2729" s="573"/>
      <c r="Y2729" s="573"/>
      <c r="Z2729" s="573"/>
    </row>
    <row r="2730" spans="1:26" ht="18.75">
      <c r="A2730" s="677"/>
      <c r="B2730" s="677"/>
      <c r="C2730" s="677"/>
      <c r="D2730" s="896"/>
      <c r="E2730" s="677"/>
      <c r="F2730" s="677"/>
      <c r="G2730" s="677"/>
      <c r="H2730" s="897"/>
      <c r="I2730" s="898"/>
      <c r="J2730" s="898"/>
      <c r="K2730" s="899"/>
      <c r="L2730" s="899"/>
      <c r="M2730" s="899"/>
      <c r="N2730" s="899"/>
      <c r="O2730" s="899"/>
      <c r="P2730" s="899"/>
      <c r="Q2730" s="573"/>
      <c r="R2730" s="573"/>
      <c r="S2730" s="573"/>
      <c r="T2730" s="573"/>
      <c r="U2730" s="573"/>
      <c r="V2730" s="573"/>
      <c r="W2730" s="573"/>
      <c r="X2730" s="573"/>
      <c r="Y2730" s="573"/>
      <c r="Z2730" s="573"/>
    </row>
    <row r="2731" spans="1:26" ht="18.75">
      <c r="A2731" s="677"/>
      <c r="B2731" s="677"/>
      <c r="C2731" s="677"/>
      <c r="D2731" s="896"/>
      <c r="E2731" s="677"/>
      <c r="F2731" s="677"/>
      <c r="G2731" s="677"/>
      <c r="H2731" s="897"/>
      <c r="I2731" s="898"/>
      <c r="J2731" s="898"/>
      <c r="K2731" s="899"/>
      <c r="L2731" s="899"/>
      <c r="M2731" s="899"/>
      <c r="N2731" s="899"/>
      <c r="O2731" s="899"/>
      <c r="P2731" s="899"/>
      <c r="Q2731" s="573"/>
      <c r="R2731" s="573"/>
      <c r="S2731" s="573"/>
      <c r="T2731" s="573"/>
      <c r="U2731" s="573"/>
      <c r="V2731" s="573"/>
      <c r="W2731" s="573"/>
      <c r="X2731" s="573"/>
      <c r="Y2731" s="573"/>
      <c r="Z2731" s="573"/>
    </row>
    <row r="2732" spans="1:26" ht="18.75">
      <c r="A2732" s="677"/>
      <c r="B2732" s="677"/>
      <c r="C2732" s="677"/>
      <c r="D2732" s="896"/>
      <c r="E2732" s="677"/>
      <c r="F2732" s="677"/>
      <c r="G2732" s="677"/>
      <c r="H2732" s="897"/>
      <c r="I2732" s="898"/>
      <c r="J2732" s="898"/>
      <c r="K2732" s="899"/>
      <c r="L2732" s="899"/>
      <c r="M2732" s="899"/>
      <c r="N2732" s="899"/>
      <c r="O2732" s="899"/>
      <c r="P2732" s="899"/>
      <c r="Q2732" s="573"/>
      <c r="R2732" s="573"/>
      <c r="S2732" s="573"/>
      <c r="T2732" s="573"/>
      <c r="U2732" s="573"/>
      <c r="V2732" s="573"/>
      <c r="W2732" s="573"/>
      <c r="X2732" s="573"/>
      <c r="Y2732" s="573"/>
      <c r="Z2732" s="573"/>
    </row>
    <row r="2733" spans="1:26" ht="18.75">
      <c r="A2733" s="677"/>
      <c r="B2733" s="677"/>
      <c r="C2733" s="677"/>
      <c r="D2733" s="896"/>
      <c r="E2733" s="677"/>
      <c r="F2733" s="677"/>
      <c r="G2733" s="677"/>
      <c r="H2733" s="897"/>
      <c r="I2733" s="898"/>
      <c r="J2733" s="898"/>
      <c r="K2733" s="899"/>
      <c r="L2733" s="899"/>
      <c r="M2733" s="899"/>
      <c r="N2733" s="899"/>
      <c r="O2733" s="899"/>
      <c r="P2733" s="899"/>
      <c r="Q2733" s="573"/>
      <c r="R2733" s="573"/>
      <c r="S2733" s="573"/>
      <c r="T2733" s="573"/>
      <c r="U2733" s="573"/>
      <c r="V2733" s="573"/>
      <c r="W2733" s="573"/>
      <c r="X2733" s="573"/>
      <c r="Y2733" s="573"/>
      <c r="Z2733" s="573"/>
    </row>
    <row r="2734" spans="1:26" ht="18.75">
      <c r="A2734" s="677"/>
      <c r="B2734" s="677"/>
      <c r="C2734" s="677"/>
      <c r="D2734" s="896"/>
      <c r="E2734" s="677"/>
      <c r="F2734" s="677"/>
      <c r="G2734" s="677"/>
      <c r="H2734" s="897"/>
      <c r="I2734" s="898"/>
      <c r="J2734" s="898"/>
      <c r="K2734" s="899"/>
      <c r="L2734" s="899"/>
      <c r="M2734" s="899"/>
      <c r="N2734" s="899"/>
      <c r="O2734" s="899"/>
      <c r="P2734" s="899"/>
      <c r="Q2734" s="573"/>
      <c r="R2734" s="573"/>
      <c r="S2734" s="573"/>
      <c r="T2734" s="573"/>
      <c r="U2734" s="573"/>
      <c r="V2734" s="573"/>
      <c r="W2734" s="573"/>
      <c r="X2734" s="573"/>
      <c r="Y2734" s="573"/>
      <c r="Z2734" s="573"/>
    </row>
    <row r="2735" spans="1:26" ht="18.75">
      <c r="A2735" s="677"/>
      <c r="B2735" s="677"/>
      <c r="C2735" s="677"/>
      <c r="D2735" s="896"/>
      <c r="E2735" s="677"/>
      <c r="F2735" s="677"/>
      <c r="G2735" s="677"/>
      <c r="H2735" s="897"/>
      <c r="I2735" s="898"/>
      <c r="J2735" s="898"/>
      <c r="K2735" s="899"/>
      <c r="L2735" s="899"/>
      <c r="M2735" s="899"/>
      <c r="N2735" s="899"/>
      <c r="O2735" s="899"/>
      <c r="P2735" s="899"/>
      <c r="Q2735" s="573"/>
      <c r="R2735" s="573"/>
      <c r="S2735" s="573"/>
      <c r="T2735" s="573"/>
      <c r="U2735" s="573"/>
      <c r="V2735" s="573"/>
      <c r="W2735" s="573"/>
      <c r="X2735" s="573"/>
      <c r="Y2735" s="573"/>
      <c r="Z2735" s="573"/>
    </row>
    <row r="2736" spans="1:26" ht="18.75">
      <c r="A2736" s="677"/>
      <c r="B2736" s="677"/>
      <c r="C2736" s="677"/>
      <c r="D2736" s="896"/>
      <c r="E2736" s="677"/>
      <c r="F2736" s="677"/>
      <c r="G2736" s="677"/>
      <c r="H2736" s="897"/>
      <c r="I2736" s="898"/>
      <c r="J2736" s="898"/>
      <c r="K2736" s="899"/>
      <c r="L2736" s="899"/>
      <c r="M2736" s="899"/>
      <c r="N2736" s="899"/>
      <c r="O2736" s="899"/>
      <c r="P2736" s="899"/>
      <c r="Q2736" s="573"/>
      <c r="R2736" s="573"/>
      <c r="S2736" s="573"/>
      <c r="T2736" s="573"/>
      <c r="U2736" s="573"/>
      <c r="V2736" s="573"/>
      <c r="W2736" s="573"/>
      <c r="X2736" s="573"/>
      <c r="Y2736" s="573"/>
      <c r="Z2736" s="573"/>
    </row>
    <row r="2737" spans="1:26" ht="18.75">
      <c r="A2737" s="677"/>
      <c r="B2737" s="677"/>
      <c r="C2737" s="677"/>
      <c r="D2737" s="896"/>
      <c r="E2737" s="677"/>
      <c r="F2737" s="677"/>
      <c r="G2737" s="677"/>
      <c r="H2737" s="897"/>
      <c r="I2737" s="898"/>
      <c r="J2737" s="898"/>
      <c r="K2737" s="899"/>
      <c r="L2737" s="899"/>
      <c r="M2737" s="899"/>
      <c r="N2737" s="899"/>
      <c r="O2737" s="899"/>
      <c r="P2737" s="899"/>
      <c r="Q2737" s="573"/>
      <c r="R2737" s="573"/>
      <c r="S2737" s="573"/>
      <c r="T2737" s="573"/>
      <c r="U2737" s="573"/>
      <c r="V2737" s="573"/>
      <c r="W2737" s="573"/>
      <c r="X2737" s="573"/>
      <c r="Y2737" s="573"/>
      <c r="Z2737" s="573"/>
    </row>
    <row r="2738" spans="1:26" ht="18.75">
      <c r="A2738" s="677"/>
      <c r="B2738" s="677"/>
      <c r="C2738" s="677"/>
      <c r="D2738" s="896"/>
      <c r="E2738" s="677"/>
      <c r="F2738" s="677"/>
      <c r="G2738" s="677"/>
      <c r="H2738" s="897"/>
      <c r="I2738" s="898"/>
      <c r="J2738" s="898"/>
      <c r="K2738" s="899"/>
      <c r="L2738" s="899"/>
      <c r="M2738" s="899"/>
      <c r="N2738" s="899"/>
      <c r="O2738" s="899"/>
      <c r="P2738" s="899"/>
      <c r="Q2738" s="573"/>
      <c r="R2738" s="573"/>
      <c r="S2738" s="573"/>
      <c r="T2738" s="573"/>
      <c r="U2738" s="573"/>
      <c r="V2738" s="573"/>
      <c r="W2738" s="573"/>
      <c r="X2738" s="573"/>
      <c r="Y2738" s="573"/>
      <c r="Z2738" s="573"/>
    </row>
    <row r="2739" spans="1:26" ht="18.75">
      <c r="A2739" s="677"/>
      <c r="B2739" s="677"/>
      <c r="C2739" s="677"/>
      <c r="D2739" s="896"/>
      <c r="E2739" s="677"/>
      <c r="F2739" s="677"/>
      <c r="G2739" s="677"/>
      <c r="H2739" s="897"/>
      <c r="I2739" s="898"/>
      <c r="J2739" s="898"/>
      <c r="K2739" s="899"/>
      <c r="L2739" s="899"/>
      <c r="M2739" s="899"/>
      <c r="N2739" s="899"/>
      <c r="O2739" s="899"/>
      <c r="P2739" s="899"/>
      <c r="Q2739" s="573"/>
      <c r="R2739" s="573"/>
      <c r="S2739" s="573"/>
      <c r="T2739" s="573"/>
      <c r="U2739" s="573"/>
      <c r="V2739" s="573"/>
      <c r="W2739" s="573"/>
      <c r="X2739" s="573"/>
      <c r="Y2739" s="573"/>
      <c r="Z2739" s="573"/>
    </row>
    <row r="2740" spans="1:26" ht="18.75">
      <c r="A2740" s="677"/>
      <c r="B2740" s="677"/>
      <c r="C2740" s="677"/>
      <c r="D2740" s="896"/>
      <c r="E2740" s="677"/>
      <c r="F2740" s="677"/>
      <c r="G2740" s="677"/>
      <c r="H2740" s="897"/>
      <c r="I2740" s="898"/>
      <c r="J2740" s="898"/>
      <c r="K2740" s="899"/>
      <c r="L2740" s="899"/>
      <c r="M2740" s="899"/>
      <c r="N2740" s="899"/>
      <c r="O2740" s="899"/>
      <c r="P2740" s="899"/>
      <c r="Q2740" s="573"/>
      <c r="R2740" s="573"/>
      <c r="S2740" s="573"/>
      <c r="T2740" s="573"/>
      <c r="U2740" s="573"/>
      <c r="V2740" s="573"/>
      <c r="W2740" s="573"/>
      <c r="X2740" s="573"/>
      <c r="Y2740" s="573"/>
      <c r="Z2740" s="573"/>
    </row>
    <row r="2741" spans="1:26" ht="18.75">
      <c r="A2741" s="677"/>
      <c r="B2741" s="677"/>
      <c r="C2741" s="677"/>
      <c r="D2741" s="896"/>
      <c r="E2741" s="677"/>
      <c r="F2741" s="677"/>
      <c r="G2741" s="677"/>
      <c r="H2741" s="897"/>
      <c r="I2741" s="898"/>
      <c r="J2741" s="898"/>
      <c r="K2741" s="899"/>
      <c r="L2741" s="899"/>
      <c r="M2741" s="899"/>
      <c r="N2741" s="899"/>
      <c r="O2741" s="899"/>
      <c r="P2741" s="899"/>
      <c r="Q2741" s="573"/>
      <c r="R2741" s="573"/>
      <c r="S2741" s="573"/>
      <c r="T2741" s="573"/>
      <c r="U2741" s="573"/>
      <c r="V2741" s="573"/>
      <c r="W2741" s="573"/>
      <c r="X2741" s="573"/>
      <c r="Y2741" s="573"/>
      <c r="Z2741" s="573"/>
    </row>
    <row r="2742" spans="1:26" ht="18.75">
      <c r="A2742" s="677"/>
      <c r="B2742" s="677"/>
      <c r="C2742" s="677"/>
      <c r="D2742" s="896"/>
      <c r="E2742" s="677"/>
      <c r="F2742" s="677"/>
      <c r="G2742" s="677"/>
      <c r="H2742" s="897"/>
      <c r="I2742" s="898"/>
      <c r="J2742" s="898"/>
      <c r="K2742" s="899"/>
      <c r="L2742" s="899"/>
      <c r="M2742" s="899"/>
      <c r="N2742" s="899"/>
      <c r="O2742" s="899"/>
      <c r="P2742" s="899"/>
      <c r="Q2742" s="573"/>
      <c r="R2742" s="573"/>
      <c r="S2742" s="573"/>
      <c r="T2742" s="573"/>
      <c r="U2742" s="573"/>
      <c r="V2742" s="573"/>
      <c r="W2742" s="573"/>
      <c r="X2742" s="573"/>
      <c r="Y2742" s="573"/>
      <c r="Z2742" s="573"/>
    </row>
    <row r="2743" spans="1:26" ht="18.75">
      <c r="A2743" s="677"/>
      <c r="B2743" s="677"/>
      <c r="C2743" s="677"/>
      <c r="D2743" s="896"/>
      <c r="E2743" s="677"/>
      <c r="F2743" s="677"/>
      <c r="G2743" s="677"/>
      <c r="H2743" s="897"/>
      <c r="I2743" s="898"/>
      <c r="J2743" s="898"/>
      <c r="K2743" s="899"/>
      <c r="L2743" s="899"/>
      <c r="M2743" s="899"/>
      <c r="N2743" s="899"/>
      <c r="O2743" s="899"/>
      <c r="P2743" s="899"/>
      <c r="Q2743" s="573"/>
      <c r="R2743" s="573"/>
      <c r="S2743" s="573"/>
      <c r="T2743" s="573"/>
      <c r="U2743" s="573"/>
      <c r="V2743" s="573"/>
      <c r="W2743" s="573"/>
      <c r="X2743" s="573"/>
      <c r="Y2743" s="573"/>
      <c r="Z2743" s="573"/>
    </row>
    <row r="2744" spans="1:26" ht="18.75">
      <c r="A2744" s="677"/>
      <c r="B2744" s="677"/>
      <c r="C2744" s="677"/>
      <c r="D2744" s="896"/>
      <c r="E2744" s="677"/>
      <c r="F2744" s="677"/>
      <c r="G2744" s="677"/>
      <c r="H2744" s="897"/>
      <c r="I2744" s="898"/>
      <c r="J2744" s="898"/>
      <c r="K2744" s="899"/>
      <c r="L2744" s="899"/>
      <c r="M2744" s="899"/>
      <c r="N2744" s="899"/>
      <c r="O2744" s="899"/>
      <c r="P2744" s="899"/>
      <c r="Q2744" s="573"/>
      <c r="R2744" s="573"/>
      <c r="S2744" s="573"/>
      <c r="T2744" s="573"/>
      <c r="U2744" s="573"/>
      <c r="V2744" s="573"/>
      <c r="W2744" s="573"/>
      <c r="X2744" s="573"/>
      <c r="Y2744" s="573"/>
      <c r="Z2744" s="573"/>
    </row>
    <row r="2745" spans="1:26" ht="18.75">
      <c r="A2745" s="677"/>
      <c r="B2745" s="677"/>
      <c r="C2745" s="677"/>
      <c r="D2745" s="896"/>
      <c r="E2745" s="677"/>
      <c r="F2745" s="677"/>
      <c r="G2745" s="677"/>
      <c r="H2745" s="897"/>
      <c r="I2745" s="898"/>
      <c r="J2745" s="898"/>
      <c r="K2745" s="899"/>
      <c r="L2745" s="899"/>
      <c r="M2745" s="899"/>
      <c r="N2745" s="899"/>
      <c r="O2745" s="899"/>
      <c r="P2745" s="899"/>
      <c r="Q2745" s="573"/>
      <c r="R2745" s="573"/>
      <c r="S2745" s="573"/>
      <c r="T2745" s="573"/>
      <c r="U2745" s="573"/>
      <c r="V2745" s="573"/>
      <c r="W2745" s="573"/>
      <c r="X2745" s="573"/>
      <c r="Y2745" s="573"/>
      <c r="Z2745" s="573"/>
    </row>
    <row r="2746" spans="1:26" ht="18.75">
      <c r="A2746" s="677"/>
      <c r="B2746" s="677"/>
      <c r="C2746" s="677"/>
      <c r="D2746" s="896"/>
      <c r="E2746" s="677"/>
      <c r="F2746" s="677"/>
      <c r="G2746" s="677"/>
      <c r="H2746" s="897"/>
      <c r="I2746" s="898"/>
      <c r="J2746" s="898"/>
      <c r="K2746" s="899"/>
      <c r="L2746" s="899"/>
      <c r="M2746" s="899"/>
      <c r="N2746" s="899"/>
      <c r="O2746" s="899"/>
      <c r="P2746" s="899"/>
      <c r="Q2746" s="573"/>
      <c r="R2746" s="573"/>
      <c r="S2746" s="573"/>
      <c r="T2746" s="573"/>
      <c r="U2746" s="573"/>
      <c r="V2746" s="573"/>
      <c r="W2746" s="573"/>
      <c r="X2746" s="573"/>
      <c r="Y2746" s="573"/>
      <c r="Z2746" s="573"/>
    </row>
    <row r="2747" spans="1:26" ht="18.75">
      <c r="A2747" s="677"/>
      <c r="B2747" s="677"/>
      <c r="C2747" s="677"/>
      <c r="D2747" s="896"/>
      <c r="E2747" s="677"/>
      <c r="F2747" s="677"/>
      <c r="G2747" s="677"/>
      <c r="H2747" s="897"/>
      <c r="I2747" s="898"/>
      <c r="J2747" s="898"/>
      <c r="K2747" s="899"/>
      <c r="L2747" s="899"/>
      <c r="M2747" s="899"/>
      <c r="N2747" s="899"/>
      <c r="O2747" s="899"/>
      <c r="P2747" s="899"/>
      <c r="Q2747" s="573"/>
      <c r="R2747" s="573"/>
      <c r="S2747" s="573"/>
      <c r="T2747" s="573"/>
      <c r="U2747" s="573"/>
      <c r="V2747" s="573"/>
      <c r="W2747" s="573"/>
      <c r="X2747" s="573"/>
      <c r="Y2747" s="573"/>
      <c r="Z2747" s="573"/>
    </row>
    <row r="2748" spans="1:26" ht="18.75">
      <c r="A2748" s="677"/>
      <c r="B2748" s="677"/>
      <c r="C2748" s="677"/>
      <c r="D2748" s="896"/>
      <c r="E2748" s="677"/>
      <c r="F2748" s="677"/>
      <c r="G2748" s="677"/>
      <c r="H2748" s="897"/>
      <c r="I2748" s="898"/>
      <c r="J2748" s="898"/>
      <c r="K2748" s="899"/>
      <c r="L2748" s="899"/>
      <c r="M2748" s="899"/>
      <c r="N2748" s="899"/>
      <c r="O2748" s="899"/>
      <c r="P2748" s="899"/>
      <c r="Q2748" s="573"/>
      <c r="R2748" s="573"/>
      <c r="S2748" s="573"/>
      <c r="T2748" s="573"/>
      <c r="U2748" s="573"/>
      <c r="V2748" s="573"/>
      <c r="W2748" s="573"/>
      <c r="X2748" s="573"/>
      <c r="Y2748" s="573"/>
      <c r="Z2748" s="573"/>
    </row>
    <row r="2749" spans="1:26" ht="18.75">
      <c r="A2749" s="677"/>
      <c r="B2749" s="677"/>
      <c r="C2749" s="677"/>
      <c r="D2749" s="896"/>
      <c r="E2749" s="677"/>
      <c r="F2749" s="677"/>
      <c r="G2749" s="677"/>
      <c r="H2749" s="897"/>
      <c r="I2749" s="898"/>
      <c r="J2749" s="898"/>
      <c r="K2749" s="899"/>
      <c r="L2749" s="899"/>
      <c r="M2749" s="899"/>
      <c r="N2749" s="899"/>
      <c r="O2749" s="899"/>
      <c r="P2749" s="899"/>
      <c r="Q2749" s="573"/>
      <c r="R2749" s="573"/>
      <c r="S2749" s="573"/>
      <c r="T2749" s="573"/>
      <c r="U2749" s="573"/>
      <c r="V2749" s="573"/>
      <c r="W2749" s="573"/>
      <c r="X2749" s="573"/>
      <c r="Y2749" s="573"/>
      <c r="Z2749" s="573"/>
    </row>
    <row r="2750" spans="1:26" ht="18.75">
      <c r="A2750" s="677"/>
      <c r="B2750" s="677"/>
      <c r="C2750" s="677"/>
      <c r="D2750" s="896"/>
      <c r="E2750" s="677"/>
      <c r="F2750" s="677"/>
      <c r="G2750" s="677"/>
      <c r="H2750" s="897"/>
      <c r="I2750" s="898"/>
      <c r="J2750" s="898"/>
      <c r="K2750" s="899"/>
      <c r="L2750" s="899"/>
      <c r="M2750" s="899"/>
      <c r="N2750" s="899"/>
      <c r="O2750" s="899"/>
      <c r="P2750" s="899"/>
      <c r="Q2750" s="573"/>
      <c r="R2750" s="573"/>
      <c r="S2750" s="573"/>
      <c r="T2750" s="573"/>
      <c r="U2750" s="573"/>
      <c r="V2750" s="573"/>
      <c r="W2750" s="573"/>
      <c r="X2750" s="573"/>
      <c r="Y2750" s="573"/>
      <c r="Z2750" s="573"/>
    </row>
    <row r="2751" spans="1:26" ht="18.75">
      <c r="A2751" s="677"/>
      <c r="B2751" s="677"/>
      <c r="C2751" s="677"/>
      <c r="D2751" s="896"/>
      <c r="E2751" s="677"/>
      <c r="F2751" s="677"/>
      <c r="G2751" s="677"/>
      <c r="H2751" s="897"/>
      <c r="I2751" s="898"/>
      <c r="J2751" s="898"/>
      <c r="K2751" s="899"/>
      <c r="L2751" s="899"/>
      <c r="M2751" s="899"/>
      <c r="N2751" s="899"/>
      <c r="O2751" s="899"/>
      <c r="P2751" s="899"/>
      <c r="Q2751" s="573"/>
      <c r="R2751" s="573"/>
      <c r="S2751" s="573"/>
      <c r="T2751" s="573"/>
      <c r="U2751" s="573"/>
      <c r="V2751" s="573"/>
      <c r="W2751" s="573"/>
      <c r="X2751" s="573"/>
      <c r="Y2751" s="573"/>
      <c r="Z2751" s="573"/>
    </row>
    <row r="2752" spans="1:26" ht="18.75">
      <c r="A2752" s="677"/>
      <c r="B2752" s="677"/>
      <c r="C2752" s="677"/>
      <c r="D2752" s="896"/>
      <c r="E2752" s="677"/>
      <c r="F2752" s="677"/>
      <c r="G2752" s="677"/>
      <c r="H2752" s="897"/>
      <c r="I2752" s="898"/>
      <c r="J2752" s="898"/>
      <c r="K2752" s="899"/>
      <c r="L2752" s="899"/>
      <c r="M2752" s="899"/>
      <c r="N2752" s="899"/>
      <c r="O2752" s="899"/>
      <c r="P2752" s="899"/>
      <c r="Q2752" s="573"/>
      <c r="R2752" s="573"/>
      <c r="S2752" s="573"/>
      <c r="T2752" s="573"/>
      <c r="U2752" s="573"/>
      <c r="V2752" s="573"/>
      <c r="W2752" s="573"/>
      <c r="X2752" s="573"/>
      <c r="Y2752" s="573"/>
      <c r="Z2752" s="573"/>
    </row>
    <row r="2753" spans="1:26" ht="18.75">
      <c r="A2753" s="677"/>
      <c r="B2753" s="677"/>
      <c r="C2753" s="677"/>
      <c r="D2753" s="896"/>
      <c r="E2753" s="677"/>
      <c r="F2753" s="677"/>
      <c r="G2753" s="677"/>
      <c r="H2753" s="897"/>
      <c r="I2753" s="898"/>
      <c r="J2753" s="898"/>
      <c r="K2753" s="899"/>
      <c r="L2753" s="899"/>
      <c r="M2753" s="899"/>
      <c r="N2753" s="899"/>
      <c r="O2753" s="899"/>
      <c r="P2753" s="899"/>
      <c r="Q2753" s="573"/>
      <c r="R2753" s="573"/>
      <c r="S2753" s="573"/>
      <c r="T2753" s="573"/>
      <c r="U2753" s="573"/>
      <c r="V2753" s="573"/>
      <c r="W2753" s="573"/>
      <c r="X2753" s="573"/>
      <c r="Y2753" s="573"/>
      <c r="Z2753" s="573"/>
    </row>
    <row r="2754" spans="1:26" ht="18.75">
      <c r="A2754" s="677"/>
      <c r="B2754" s="677"/>
      <c r="C2754" s="677"/>
      <c r="D2754" s="896"/>
      <c r="E2754" s="677"/>
      <c r="F2754" s="677"/>
      <c r="G2754" s="677"/>
      <c r="H2754" s="897"/>
      <c r="I2754" s="898"/>
      <c r="J2754" s="898"/>
      <c r="K2754" s="899"/>
      <c r="L2754" s="899"/>
      <c r="M2754" s="899"/>
      <c r="N2754" s="899"/>
      <c r="O2754" s="899"/>
      <c r="P2754" s="899"/>
      <c r="Q2754" s="573"/>
      <c r="R2754" s="573"/>
      <c r="S2754" s="573"/>
      <c r="T2754" s="573"/>
      <c r="U2754" s="573"/>
      <c r="V2754" s="573"/>
      <c r="W2754" s="573"/>
      <c r="X2754" s="573"/>
      <c r="Y2754" s="573"/>
      <c r="Z2754" s="573"/>
    </row>
    <row r="2755" spans="1:26" ht="18.75">
      <c r="A2755" s="677"/>
      <c r="B2755" s="677"/>
      <c r="C2755" s="677"/>
      <c r="D2755" s="896"/>
      <c r="E2755" s="677"/>
      <c r="F2755" s="677"/>
      <c r="G2755" s="677"/>
      <c r="H2755" s="897"/>
      <c r="I2755" s="898"/>
      <c r="J2755" s="898"/>
      <c r="K2755" s="899"/>
      <c r="L2755" s="899"/>
      <c r="M2755" s="899"/>
      <c r="N2755" s="899"/>
      <c r="O2755" s="899"/>
      <c r="P2755" s="899"/>
      <c r="Q2755" s="573"/>
      <c r="R2755" s="573"/>
      <c r="S2755" s="573"/>
      <c r="T2755" s="573"/>
      <c r="U2755" s="573"/>
      <c r="V2755" s="573"/>
      <c r="W2755" s="573"/>
      <c r="X2755" s="573"/>
      <c r="Y2755" s="573"/>
      <c r="Z2755" s="573"/>
    </row>
    <row r="2756" spans="1:26" ht="18.75">
      <c r="A2756" s="677"/>
      <c r="B2756" s="677"/>
      <c r="C2756" s="677"/>
      <c r="D2756" s="896"/>
      <c r="E2756" s="677"/>
      <c r="F2756" s="677"/>
      <c r="G2756" s="677"/>
      <c r="H2756" s="897"/>
      <c r="I2756" s="898"/>
      <c r="J2756" s="898"/>
      <c r="K2756" s="899"/>
      <c r="L2756" s="899"/>
      <c r="M2756" s="899"/>
      <c r="N2756" s="899"/>
      <c r="O2756" s="899"/>
      <c r="P2756" s="899"/>
      <c r="Q2756" s="573"/>
      <c r="R2756" s="573"/>
      <c r="S2756" s="573"/>
      <c r="T2756" s="573"/>
      <c r="U2756" s="573"/>
      <c r="V2756" s="573"/>
      <c r="W2756" s="573"/>
      <c r="X2756" s="573"/>
      <c r="Y2756" s="573"/>
      <c r="Z2756" s="573"/>
    </row>
    <row r="2757" spans="1:26" ht="18.75">
      <c r="A2757" s="677"/>
      <c r="B2757" s="677"/>
      <c r="C2757" s="677"/>
      <c r="D2757" s="896"/>
      <c r="E2757" s="677"/>
      <c r="F2757" s="677"/>
      <c r="G2757" s="677"/>
      <c r="H2757" s="897"/>
      <c r="I2757" s="898"/>
      <c r="J2757" s="898"/>
      <c r="K2757" s="899"/>
      <c r="L2757" s="899"/>
      <c r="M2757" s="899"/>
      <c r="N2757" s="899"/>
      <c r="O2757" s="899"/>
      <c r="P2757" s="899"/>
      <c r="Q2757" s="573"/>
      <c r="R2757" s="573"/>
      <c r="S2757" s="573"/>
      <c r="T2757" s="573"/>
      <c r="U2757" s="573"/>
      <c r="V2757" s="573"/>
      <c r="W2757" s="573"/>
      <c r="X2757" s="573"/>
      <c r="Y2757" s="573"/>
      <c r="Z2757" s="573"/>
    </row>
    <row r="2758" spans="1:26" ht="18.75">
      <c r="A2758" s="677"/>
      <c r="B2758" s="677"/>
      <c r="C2758" s="677"/>
      <c r="D2758" s="896"/>
      <c r="E2758" s="677"/>
      <c r="F2758" s="677"/>
      <c r="G2758" s="677"/>
      <c r="H2758" s="897"/>
      <c r="I2758" s="898"/>
      <c r="J2758" s="898"/>
      <c r="K2758" s="899"/>
      <c r="L2758" s="899"/>
      <c r="M2758" s="899"/>
      <c r="N2758" s="899"/>
      <c r="O2758" s="899"/>
      <c r="P2758" s="899"/>
      <c r="Q2758" s="573"/>
      <c r="R2758" s="573"/>
      <c r="S2758" s="573"/>
      <c r="T2758" s="573"/>
      <c r="U2758" s="573"/>
      <c r="V2758" s="573"/>
      <c r="W2758" s="573"/>
      <c r="X2758" s="573"/>
      <c r="Y2758" s="573"/>
      <c r="Z2758" s="573"/>
    </row>
    <row r="2759" spans="1:26" ht="18.75">
      <c r="A2759" s="677"/>
      <c r="B2759" s="677"/>
      <c r="C2759" s="677"/>
      <c r="D2759" s="896"/>
      <c r="E2759" s="677"/>
      <c r="F2759" s="677"/>
      <c r="G2759" s="677"/>
      <c r="H2759" s="897"/>
      <c r="I2759" s="898"/>
      <c r="J2759" s="898"/>
      <c r="K2759" s="899"/>
      <c r="L2759" s="899"/>
      <c r="M2759" s="899"/>
      <c r="N2759" s="899"/>
      <c r="O2759" s="899"/>
      <c r="P2759" s="899"/>
      <c r="Q2759" s="573"/>
      <c r="R2759" s="573"/>
      <c r="S2759" s="573"/>
      <c r="T2759" s="573"/>
      <c r="U2759" s="573"/>
      <c r="V2759" s="573"/>
      <c r="W2759" s="573"/>
      <c r="X2759" s="573"/>
      <c r="Y2759" s="573"/>
      <c r="Z2759" s="573"/>
    </row>
    <row r="2760" spans="1:26" ht="18.75">
      <c r="A2760" s="677"/>
      <c r="B2760" s="677"/>
      <c r="C2760" s="677"/>
      <c r="D2760" s="896"/>
      <c r="E2760" s="677"/>
      <c r="F2760" s="677"/>
      <c r="G2760" s="677"/>
      <c r="H2760" s="897"/>
      <c r="I2760" s="898"/>
      <c r="J2760" s="898"/>
      <c r="K2760" s="899"/>
      <c r="L2760" s="899"/>
      <c r="M2760" s="899"/>
      <c r="N2760" s="899"/>
      <c r="O2760" s="899"/>
      <c r="P2760" s="899"/>
      <c r="Q2760" s="573"/>
      <c r="R2760" s="573"/>
      <c r="S2760" s="573"/>
      <c r="T2760" s="573"/>
      <c r="U2760" s="573"/>
      <c r="V2760" s="573"/>
      <c r="W2760" s="573"/>
      <c r="X2760" s="573"/>
      <c r="Y2760" s="573"/>
      <c r="Z2760" s="573"/>
    </row>
    <row r="2761" spans="1:26" ht="18.75">
      <c r="A2761" s="677"/>
      <c r="B2761" s="677"/>
      <c r="C2761" s="677"/>
      <c r="D2761" s="896"/>
      <c r="E2761" s="677"/>
      <c r="F2761" s="677"/>
      <c r="G2761" s="677"/>
      <c r="H2761" s="897"/>
      <c r="I2761" s="898"/>
      <c r="J2761" s="898"/>
      <c r="K2761" s="899"/>
      <c r="L2761" s="899"/>
      <c r="M2761" s="899"/>
      <c r="N2761" s="899"/>
      <c r="O2761" s="899"/>
      <c r="P2761" s="899"/>
      <c r="Q2761" s="573"/>
      <c r="R2761" s="573"/>
      <c r="S2761" s="573"/>
      <c r="T2761" s="573"/>
      <c r="U2761" s="573"/>
      <c r="V2761" s="573"/>
      <c r="W2761" s="573"/>
      <c r="X2761" s="573"/>
      <c r="Y2761" s="573"/>
      <c r="Z2761" s="573"/>
    </row>
    <row r="2762" spans="1:26" ht="18.75">
      <c r="A2762" s="677"/>
      <c r="B2762" s="677"/>
      <c r="C2762" s="677"/>
      <c r="D2762" s="896"/>
      <c r="E2762" s="677"/>
      <c r="F2762" s="677"/>
      <c r="G2762" s="677"/>
      <c r="H2762" s="897"/>
      <c r="I2762" s="898"/>
      <c r="J2762" s="898"/>
      <c r="K2762" s="899"/>
      <c r="L2762" s="899"/>
      <c r="M2762" s="899"/>
      <c r="N2762" s="899"/>
      <c r="O2762" s="899"/>
      <c r="P2762" s="899"/>
      <c r="Q2762" s="573"/>
      <c r="R2762" s="573"/>
      <c r="S2762" s="573"/>
      <c r="T2762" s="573"/>
      <c r="U2762" s="573"/>
      <c r="V2762" s="573"/>
      <c r="W2762" s="573"/>
      <c r="X2762" s="573"/>
      <c r="Y2762" s="573"/>
      <c r="Z2762" s="573"/>
    </row>
    <row r="2763" spans="1:26" ht="18.75">
      <c r="A2763" s="677"/>
      <c r="B2763" s="677"/>
      <c r="C2763" s="677"/>
      <c r="D2763" s="896"/>
      <c r="E2763" s="677"/>
      <c r="F2763" s="677"/>
      <c r="G2763" s="677"/>
      <c r="H2763" s="897"/>
      <c r="I2763" s="898"/>
      <c r="J2763" s="898"/>
      <c r="K2763" s="899"/>
      <c r="L2763" s="899"/>
      <c r="M2763" s="899"/>
      <c r="N2763" s="899"/>
      <c r="O2763" s="899"/>
      <c r="P2763" s="899"/>
      <c r="Q2763" s="573"/>
      <c r="R2763" s="573"/>
      <c r="S2763" s="573"/>
      <c r="T2763" s="573"/>
      <c r="U2763" s="573"/>
      <c r="V2763" s="573"/>
      <c r="W2763" s="573"/>
      <c r="X2763" s="573"/>
      <c r="Y2763" s="573"/>
      <c r="Z2763" s="573"/>
    </row>
    <row r="2764" spans="1:26" ht="18.75">
      <c r="A2764" s="677"/>
      <c r="B2764" s="677"/>
      <c r="C2764" s="677"/>
      <c r="D2764" s="896"/>
      <c r="E2764" s="677"/>
      <c r="F2764" s="677"/>
      <c r="G2764" s="677"/>
      <c r="H2764" s="897"/>
      <c r="I2764" s="898"/>
      <c r="J2764" s="898"/>
      <c r="K2764" s="899"/>
      <c r="L2764" s="899"/>
      <c r="M2764" s="899"/>
      <c r="N2764" s="899"/>
      <c r="O2764" s="899"/>
      <c r="P2764" s="899"/>
      <c r="Q2764" s="573"/>
      <c r="R2764" s="573"/>
      <c r="S2764" s="573"/>
      <c r="T2764" s="573"/>
      <c r="U2764" s="573"/>
      <c r="V2764" s="573"/>
      <c r="W2764" s="573"/>
      <c r="X2764" s="573"/>
      <c r="Y2764" s="573"/>
      <c r="Z2764" s="573"/>
    </row>
    <row r="2765" spans="1:26" ht="18.75">
      <c r="A2765" s="677"/>
      <c r="B2765" s="677"/>
      <c r="C2765" s="677"/>
      <c r="D2765" s="896"/>
      <c r="E2765" s="677"/>
      <c r="F2765" s="677"/>
      <c r="G2765" s="677"/>
      <c r="H2765" s="897"/>
      <c r="I2765" s="898"/>
      <c r="J2765" s="898"/>
      <c r="K2765" s="899"/>
      <c r="L2765" s="899"/>
      <c r="M2765" s="899"/>
      <c r="N2765" s="899"/>
      <c r="O2765" s="899"/>
      <c r="P2765" s="899"/>
      <c r="Q2765" s="573"/>
      <c r="R2765" s="573"/>
      <c r="S2765" s="573"/>
      <c r="T2765" s="573"/>
      <c r="U2765" s="573"/>
      <c r="V2765" s="573"/>
      <c r="W2765" s="573"/>
      <c r="X2765" s="573"/>
      <c r="Y2765" s="573"/>
      <c r="Z2765" s="573"/>
    </row>
    <row r="2766" spans="1:26" ht="18.75">
      <c r="A2766" s="677"/>
      <c r="B2766" s="677"/>
      <c r="C2766" s="677"/>
      <c r="D2766" s="896"/>
      <c r="E2766" s="677"/>
      <c r="F2766" s="677"/>
      <c r="G2766" s="677"/>
      <c r="H2766" s="897"/>
      <c r="I2766" s="898"/>
      <c r="J2766" s="898"/>
      <c r="K2766" s="899"/>
      <c r="L2766" s="899"/>
      <c r="M2766" s="899"/>
      <c r="N2766" s="899"/>
      <c r="O2766" s="899"/>
      <c r="P2766" s="899"/>
      <c r="Q2766" s="573"/>
      <c r="R2766" s="573"/>
      <c r="S2766" s="573"/>
      <c r="T2766" s="573"/>
      <c r="U2766" s="573"/>
      <c r="V2766" s="573"/>
      <c r="W2766" s="573"/>
      <c r="X2766" s="573"/>
      <c r="Y2766" s="573"/>
      <c r="Z2766" s="573"/>
    </row>
    <row r="2767" spans="1:26" ht="18.75">
      <c r="A2767" s="677"/>
      <c r="B2767" s="677"/>
      <c r="C2767" s="677"/>
      <c r="D2767" s="896"/>
      <c r="E2767" s="677"/>
      <c r="F2767" s="677"/>
      <c r="G2767" s="677"/>
      <c r="H2767" s="897"/>
      <c r="I2767" s="898"/>
      <c r="J2767" s="898"/>
      <c r="K2767" s="899"/>
      <c r="L2767" s="899"/>
      <c r="M2767" s="899"/>
      <c r="N2767" s="899"/>
      <c r="O2767" s="899"/>
      <c r="P2767" s="899"/>
      <c r="Q2767" s="573"/>
      <c r="R2767" s="573"/>
      <c r="S2767" s="573"/>
      <c r="T2767" s="573"/>
      <c r="U2767" s="573"/>
      <c r="V2767" s="573"/>
      <c r="W2767" s="573"/>
      <c r="X2767" s="573"/>
      <c r="Y2767" s="573"/>
      <c r="Z2767" s="573"/>
    </row>
    <row r="2768" spans="1:26" ht="18.75">
      <c r="A2768" s="677"/>
      <c r="B2768" s="677"/>
      <c r="C2768" s="677"/>
      <c r="D2768" s="896"/>
      <c r="E2768" s="677"/>
      <c r="F2768" s="677"/>
      <c r="G2768" s="677"/>
      <c r="H2768" s="897"/>
      <c r="I2768" s="898"/>
      <c r="J2768" s="898"/>
      <c r="K2768" s="899"/>
      <c r="L2768" s="899"/>
      <c r="M2768" s="899"/>
      <c r="N2768" s="899"/>
      <c r="O2768" s="899"/>
      <c r="P2768" s="899"/>
      <c r="Q2768" s="573"/>
      <c r="R2768" s="573"/>
      <c r="S2768" s="573"/>
      <c r="T2768" s="573"/>
      <c r="U2768" s="573"/>
      <c r="V2768" s="573"/>
      <c r="W2768" s="573"/>
      <c r="X2768" s="573"/>
      <c r="Y2768" s="573"/>
      <c r="Z2768" s="573"/>
    </row>
    <row r="2769" spans="1:26" ht="18.75">
      <c r="A2769" s="677"/>
      <c r="B2769" s="677"/>
      <c r="C2769" s="677"/>
      <c r="D2769" s="896"/>
      <c r="E2769" s="677"/>
      <c r="F2769" s="677"/>
      <c r="G2769" s="677"/>
      <c r="H2769" s="897"/>
      <c r="I2769" s="898"/>
      <c r="J2769" s="898"/>
      <c r="K2769" s="899"/>
      <c r="L2769" s="899"/>
      <c r="M2769" s="899"/>
      <c r="N2769" s="899"/>
      <c r="O2769" s="899"/>
      <c r="P2769" s="899"/>
      <c r="Q2769" s="573"/>
      <c r="R2769" s="573"/>
      <c r="S2769" s="573"/>
      <c r="T2769" s="573"/>
      <c r="U2769" s="573"/>
      <c r="V2769" s="573"/>
      <c r="W2769" s="573"/>
      <c r="X2769" s="573"/>
      <c r="Y2769" s="573"/>
      <c r="Z2769" s="573"/>
    </row>
    <row r="2770" spans="1:26" ht="18.75">
      <c r="A2770" s="677"/>
      <c r="B2770" s="677"/>
      <c r="C2770" s="677"/>
      <c r="D2770" s="896"/>
      <c r="E2770" s="677"/>
      <c r="F2770" s="677"/>
      <c r="G2770" s="677"/>
      <c r="H2770" s="897"/>
      <c r="I2770" s="898"/>
      <c r="J2770" s="898"/>
      <c r="K2770" s="899"/>
      <c r="L2770" s="899"/>
      <c r="M2770" s="899"/>
      <c r="N2770" s="899"/>
      <c r="O2770" s="899"/>
      <c r="P2770" s="899"/>
      <c r="Q2770" s="573"/>
      <c r="R2770" s="573"/>
      <c r="S2770" s="573"/>
      <c r="T2770" s="573"/>
      <c r="U2770" s="573"/>
      <c r="V2770" s="573"/>
      <c r="W2770" s="573"/>
      <c r="X2770" s="573"/>
      <c r="Y2770" s="573"/>
      <c r="Z2770" s="573"/>
    </row>
    <row r="2771" spans="1:26" ht="18.75">
      <c r="A2771" s="677"/>
      <c r="B2771" s="677"/>
      <c r="C2771" s="677"/>
      <c r="D2771" s="896"/>
      <c r="E2771" s="677"/>
      <c r="F2771" s="677"/>
      <c r="G2771" s="677"/>
      <c r="H2771" s="897"/>
      <c r="I2771" s="898"/>
      <c r="J2771" s="898"/>
      <c r="K2771" s="899"/>
      <c r="L2771" s="899"/>
      <c r="M2771" s="899"/>
      <c r="N2771" s="899"/>
      <c r="O2771" s="899"/>
      <c r="P2771" s="899"/>
      <c r="Q2771" s="573"/>
      <c r="R2771" s="573"/>
      <c r="S2771" s="573"/>
      <c r="T2771" s="573"/>
      <c r="U2771" s="573"/>
      <c r="V2771" s="573"/>
      <c r="W2771" s="573"/>
      <c r="X2771" s="573"/>
      <c r="Y2771" s="573"/>
      <c r="Z2771" s="573"/>
    </row>
    <row r="2772" spans="1:26" ht="18.75">
      <c r="A2772" s="677"/>
      <c r="B2772" s="677"/>
      <c r="C2772" s="677"/>
      <c r="D2772" s="896"/>
      <c r="E2772" s="677"/>
      <c r="F2772" s="677"/>
      <c r="G2772" s="677"/>
      <c r="H2772" s="897"/>
      <c r="I2772" s="898"/>
      <c r="J2772" s="898"/>
      <c r="K2772" s="899"/>
      <c r="L2772" s="899"/>
      <c r="M2772" s="899"/>
      <c r="N2772" s="899"/>
      <c r="O2772" s="899"/>
      <c r="P2772" s="899"/>
      <c r="Q2772" s="573"/>
      <c r="R2772" s="573"/>
      <c r="S2772" s="573"/>
      <c r="T2772" s="573"/>
      <c r="U2772" s="573"/>
      <c r="V2772" s="573"/>
      <c r="W2772" s="573"/>
      <c r="X2772" s="573"/>
      <c r="Y2772" s="573"/>
      <c r="Z2772" s="573"/>
    </row>
    <row r="2773" spans="1:26" ht="18.75">
      <c r="A2773" s="677"/>
      <c r="B2773" s="677"/>
      <c r="C2773" s="677"/>
      <c r="D2773" s="896"/>
      <c r="E2773" s="677"/>
      <c r="F2773" s="677"/>
      <c r="G2773" s="677"/>
      <c r="H2773" s="897"/>
      <c r="I2773" s="898"/>
      <c r="J2773" s="898"/>
      <c r="K2773" s="899"/>
      <c r="L2773" s="899"/>
      <c r="M2773" s="899"/>
      <c r="N2773" s="899"/>
      <c r="O2773" s="899"/>
      <c r="P2773" s="899"/>
      <c r="Q2773" s="573"/>
      <c r="R2773" s="573"/>
      <c r="S2773" s="573"/>
      <c r="T2773" s="573"/>
      <c r="U2773" s="573"/>
      <c r="V2773" s="573"/>
      <c r="W2773" s="573"/>
      <c r="X2773" s="573"/>
      <c r="Y2773" s="573"/>
      <c r="Z2773" s="573"/>
    </row>
    <row r="2774" spans="1:26" ht="18.75">
      <c r="A2774" s="677"/>
      <c r="B2774" s="677"/>
      <c r="C2774" s="677"/>
      <c r="D2774" s="896"/>
      <c r="E2774" s="677"/>
      <c r="F2774" s="677"/>
      <c r="G2774" s="677"/>
      <c r="H2774" s="897"/>
      <c r="I2774" s="898"/>
      <c r="J2774" s="898"/>
      <c r="K2774" s="899"/>
      <c r="L2774" s="899"/>
      <c r="M2774" s="899"/>
      <c r="N2774" s="899"/>
      <c r="O2774" s="899"/>
      <c r="P2774" s="899"/>
      <c r="Q2774" s="573"/>
      <c r="R2774" s="573"/>
      <c r="S2774" s="573"/>
      <c r="T2774" s="573"/>
      <c r="U2774" s="573"/>
      <c r="V2774" s="573"/>
      <c r="W2774" s="573"/>
      <c r="X2774" s="573"/>
      <c r="Y2774" s="573"/>
      <c r="Z2774" s="573"/>
    </row>
    <row r="2775" spans="1:26" ht="18.75">
      <c r="A2775" s="677"/>
      <c r="B2775" s="677"/>
      <c r="C2775" s="677"/>
      <c r="D2775" s="896"/>
      <c r="E2775" s="677"/>
      <c r="F2775" s="677"/>
      <c r="G2775" s="677"/>
      <c r="H2775" s="897"/>
      <c r="I2775" s="898"/>
      <c r="J2775" s="898"/>
      <c r="K2775" s="899"/>
      <c r="L2775" s="899"/>
      <c r="M2775" s="899"/>
      <c r="N2775" s="899"/>
      <c r="O2775" s="899"/>
      <c r="P2775" s="899"/>
      <c r="Q2775" s="573"/>
      <c r="R2775" s="573"/>
      <c r="S2775" s="573"/>
      <c r="T2775" s="573"/>
      <c r="U2775" s="573"/>
      <c r="V2775" s="573"/>
      <c r="W2775" s="573"/>
      <c r="X2775" s="573"/>
      <c r="Y2775" s="573"/>
      <c r="Z2775" s="573"/>
    </row>
    <row r="2776" spans="1:26" ht="18.75">
      <c r="A2776" s="677"/>
      <c r="B2776" s="677"/>
      <c r="C2776" s="677"/>
      <c r="D2776" s="896"/>
      <c r="E2776" s="677"/>
      <c r="F2776" s="677"/>
      <c r="G2776" s="677"/>
      <c r="H2776" s="897"/>
      <c r="I2776" s="898"/>
      <c r="J2776" s="898"/>
      <c r="K2776" s="899"/>
      <c r="L2776" s="899"/>
      <c r="M2776" s="899"/>
      <c r="N2776" s="899"/>
      <c r="O2776" s="899"/>
      <c r="P2776" s="899"/>
      <c r="Q2776" s="573"/>
      <c r="R2776" s="573"/>
      <c r="S2776" s="573"/>
      <c r="T2776" s="573"/>
      <c r="U2776" s="573"/>
      <c r="V2776" s="573"/>
      <c r="W2776" s="573"/>
      <c r="X2776" s="573"/>
      <c r="Y2776" s="573"/>
      <c r="Z2776" s="573"/>
    </row>
    <row r="2777" spans="1:26" ht="18.75">
      <c r="A2777" s="677"/>
      <c r="B2777" s="677"/>
      <c r="C2777" s="677"/>
      <c r="D2777" s="896"/>
      <c r="E2777" s="677"/>
      <c r="F2777" s="677"/>
      <c r="G2777" s="677"/>
      <c r="H2777" s="897"/>
      <c r="I2777" s="898"/>
      <c r="J2777" s="898"/>
      <c r="K2777" s="899"/>
      <c r="L2777" s="899"/>
      <c r="M2777" s="899"/>
      <c r="N2777" s="899"/>
      <c r="O2777" s="899"/>
      <c r="P2777" s="899"/>
      <c r="Q2777" s="573"/>
      <c r="R2777" s="573"/>
      <c r="S2777" s="573"/>
      <c r="T2777" s="573"/>
      <c r="U2777" s="573"/>
      <c r="V2777" s="573"/>
      <c r="W2777" s="573"/>
      <c r="X2777" s="573"/>
      <c r="Y2777" s="573"/>
      <c r="Z2777" s="573"/>
    </row>
    <row r="2778" spans="1:26" ht="18.75">
      <c r="A2778" s="677"/>
      <c r="B2778" s="677"/>
      <c r="C2778" s="677"/>
      <c r="D2778" s="896"/>
      <c r="E2778" s="677"/>
      <c r="F2778" s="677"/>
      <c r="G2778" s="677"/>
      <c r="H2778" s="897"/>
      <c r="I2778" s="898"/>
      <c r="J2778" s="898"/>
      <c r="K2778" s="899"/>
      <c r="L2778" s="899"/>
      <c r="M2778" s="899"/>
      <c r="N2778" s="899"/>
      <c r="O2778" s="899"/>
      <c r="P2778" s="899"/>
      <c r="Q2778" s="573"/>
      <c r="R2778" s="573"/>
      <c r="S2778" s="573"/>
      <c r="T2778" s="573"/>
      <c r="U2778" s="573"/>
      <c r="V2778" s="573"/>
      <c r="W2778" s="573"/>
      <c r="X2778" s="573"/>
      <c r="Y2778" s="573"/>
      <c r="Z2778" s="573"/>
    </row>
    <row r="2779" spans="1:26" ht="18.75">
      <c r="A2779" s="677"/>
      <c r="B2779" s="677"/>
      <c r="C2779" s="677"/>
      <c r="D2779" s="896"/>
      <c r="E2779" s="677"/>
      <c r="F2779" s="677"/>
      <c r="G2779" s="677"/>
      <c r="H2779" s="897"/>
      <c r="I2779" s="898"/>
      <c r="J2779" s="898"/>
      <c r="K2779" s="899"/>
      <c r="L2779" s="899"/>
      <c r="M2779" s="899"/>
      <c r="N2779" s="899"/>
      <c r="O2779" s="899"/>
      <c r="P2779" s="899"/>
      <c r="Q2779" s="573"/>
      <c r="R2779" s="573"/>
      <c r="S2779" s="573"/>
      <c r="T2779" s="573"/>
      <c r="U2779" s="573"/>
      <c r="V2779" s="573"/>
      <c r="W2779" s="573"/>
      <c r="X2779" s="573"/>
      <c r="Y2779" s="573"/>
      <c r="Z2779" s="573"/>
    </row>
    <row r="2780" spans="1:26" ht="18.75">
      <c r="A2780" s="677"/>
      <c r="B2780" s="677"/>
      <c r="C2780" s="677"/>
      <c r="D2780" s="896"/>
      <c r="E2780" s="677"/>
      <c r="F2780" s="677"/>
      <c r="G2780" s="677"/>
      <c r="H2780" s="897"/>
      <c r="I2780" s="898"/>
      <c r="J2780" s="898"/>
      <c r="K2780" s="899"/>
      <c r="L2780" s="899"/>
      <c r="M2780" s="899"/>
      <c r="N2780" s="899"/>
      <c r="O2780" s="899"/>
      <c r="P2780" s="899"/>
      <c r="Q2780" s="573"/>
      <c r="R2780" s="573"/>
      <c r="S2780" s="573"/>
      <c r="T2780" s="573"/>
      <c r="U2780" s="573"/>
      <c r="V2780" s="573"/>
      <c r="W2780" s="573"/>
      <c r="X2780" s="573"/>
      <c r="Y2780" s="573"/>
      <c r="Z2780" s="573"/>
    </row>
    <row r="2781" spans="1:26" ht="18.75">
      <c r="A2781" s="677"/>
      <c r="B2781" s="677"/>
      <c r="C2781" s="677"/>
      <c r="D2781" s="896"/>
      <c r="E2781" s="677"/>
      <c r="F2781" s="677"/>
      <c r="G2781" s="677"/>
      <c r="H2781" s="897"/>
      <c r="I2781" s="898"/>
      <c r="J2781" s="898"/>
      <c r="K2781" s="899"/>
      <c r="L2781" s="899"/>
      <c r="M2781" s="899"/>
      <c r="N2781" s="899"/>
      <c r="O2781" s="899"/>
      <c r="P2781" s="899"/>
      <c r="Q2781" s="573"/>
      <c r="R2781" s="573"/>
      <c r="S2781" s="573"/>
      <c r="T2781" s="573"/>
      <c r="U2781" s="573"/>
      <c r="V2781" s="573"/>
      <c r="W2781" s="573"/>
      <c r="X2781" s="573"/>
      <c r="Y2781" s="573"/>
      <c r="Z2781" s="573"/>
    </row>
    <row r="2782" spans="1:26" ht="18.75">
      <c r="A2782" s="677"/>
      <c r="B2782" s="677"/>
      <c r="C2782" s="677"/>
      <c r="D2782" s="896"/>
      <c r="E2782" s="677"/>
      <c r="F2782" s="677"/>
      <c r="G2782" s="677"/>
      <c r="H2782" s="897"/>
      <c r="I2782" s="898"/>
      <c r="J2782" s="898"/>
      <c r="K2782" s="899"/>
      <c r="L2782" s="899"/>
      <c r="M2782" s="899"/>
      <c r="N2782" s="899"/>
      <c r="O2782" s="899"/>
      <c r="P2782" s="899"/>
      <c r="Q2782" s="573"/>
      <c r="R2782" s="573"/>
      <c r="S2782" s="573"/>
      <c r="T2782" s="573"/>
      <c r="U2782" s="573"/>
      <c r="V2782" s="573"/>
      <c r="W2782" s="573"/>
      <c r="X2782" s="573"/>
      <c r="Y2782" s="573"/>
      <c r="Z2782" s="573"/>
    </row>
    <row r="2783" spans="1:26" ht="18.75">
      <c r="A2783" s="677"/>
      <c r="B2783" s="677"/>
      <c r="C2783" s="677"/>
      <c r="D2783" s="896"/>
      <c r="E2783" s="677"/>
      <c r="F2783" s="677"/>
      <c r="G2783" s="677"/>
      <c r="H2783" s="897"/>
      <c r="I2783" s="898"/>
      <c r="J2783" s="898"/>
      <c r="K2783" s="899"/>
      <c r="L2783" s="899"/>
      <c r="M2783" s="899"/>
      <c r="N2783" s="899"/>
      <c r="O2783" s="899"/>
      <c r="P2783" s="899"/>
      <c r="Q2783" s="573"/>
      <c r="R2783" s="573"/>
      <c r="S2783" s="573"/>
      <c r="T2783" s="573"/>
      <c r="U2783" s="573"/>
      <c r="V2783" s="573"/>
      <c r="W2783" s="573"/>
      <c r="X2783" s="573"/>
      <c r="Y2783" s="573"/>
      <c r="Z2783" s="573"/>
    </row>
    <row r="2784" spans="1:26" ht="18.75">
      <c r="A2784" s="677"/>
      <c r="B2784" s="677"/>
      <c r="C2784" s="677"/>
      <c r="D2784" s="896"/>
      <c r="E2784" s="677"/>
      <c r="F2784" s="677"/>
      <c r="G2784" s="677"/>
      <c r="H2784" s="897"/>
      <c r="I2784" s="898"/>
      <c r="J2784" s="898"/>
      <c r="K2784" s="899"/>
      <c r="L2784" s="899"/>
      <c r="M2784" s="899"/>
      <c r="N2784" s="899"/>
      <c r="O2784" s="899"/>
      <c r="P2784" s="899"/>
      <c r="Q2784" s="573"/>
      <c r="R2784" s="573"/>
      <c r="S2784" s="573"/>
      <c r="T2784" s="573"/>
      <c r="U2784" s="573"/>
      <c r="V2784" s="573"/>
      <c r="W2784" s="573"/>
      <c r="X2784" s="573"/>
      <c r="Y2784" s="573"/>
      <c r="Z2784" s="573"/>
    </row>
    <row r="2785" spans="1:26" ht="18.75">
      <c r="A2785" s="677"/>
      <c r="B2785" s="677"/>
      <c r="C2785" s="677"/>
      <c r="D2785" s="896"/>
      <c r="E2785" s="677"/>
      <c r="F2785" s="677"/>
      <c r="G2785" s="677"/>
      <c r="H2785" s="897"/>
      <c r="I2785" s="898"/>
      <c r="J2785" s="898"/>
      <c r="K2785" s="899"/>
      <c r="L2785" s="899"/>
      <c r="M2785" s="899"/>
      <c r="N2785" s="899"/>
      <c r="O2785" s="899"/>
      <c r="P2785" s="899"/>
      <c r="Q2785" s="573"/>
      <c r="R2785" s="573"/>
      <c r="S2785" s="573"/>
      <c r="T2785" s="573"/>
      <c r="U2785" s="573"/>
      <c r="V2785" s="573"/>
      <c r="W2785" s="573"/>
      <c r="X2785" s="573"/>
      <c r="Y2785" s="573"/>
      <c r="Z2785" s="573"/>
    </row>
    <row r="2786" spans="1:26" ht="18.75">
      <c r="A2786" s="677"/>
      <c r="B2786" s="677"/>
      <c r="C2786" s="677"/>
      <c r="D2786" s="896"/>
      <c r="E2786" s="677"/>
      <c r="F2786" s="677"/>
      <c r="G2786" s="677"/>
      <c r="H2786" s="897"/>
      <c r="I2786" s="898"/>
      <c r="J2786" s="898"/>
      <c r="K2786" s="899"/>
      <c r="L2786" s="899"/>
      <c r="M2786" s="899"/>
      <c r="N2786" s="899"/>
      <c r="O2786" s="899"/>
      <c r="P2786" s="899"/>
      <c r="Q2786" s="573"/>
      <c r="R2786" s="573"/>
      <c r="S2786" s="573"/>
      <c r="T2786" s="573"/>
      <c r="U2786" s="573"/>
      <c r="V2786" s="573"/>
      <c r="W2786" s="573"/>
      <c r="X2786" s="573"/>
      <c r="Y2786" s="573"/>
      <c r="Z2786" s="573"/>
    </row>
    <row r="2787" spans="1:26" ht="18.75">
      <c r="A2787" s="677"/>
      <c r="B2787" s="677"/>
      <c r="C2787" s="677"/>
      <c r="D2787" s="896"/>
      <c r="E2787" s="677"/>
      <c r="F2787" s="677"/>
      <c r="G2787" s="677"/>
      <c r="H2787" s="897"/>
      <c r="I2787" s="898"/>
      <c r="J2787" s="898"/>
      <c r="K2787" s="899"/>
      <c r="L2787" s="899"/>
      <c r="M2787" s="899"/>
      <c r="N2787" s="899"/>
      <c r="O2787" s="899"/>
      <c r="P2787" s="899"/>
      <c r="Q2787" s="573"/>
      <c r="R2787" s="573"/>
      <c r="S2787" s="573"/>
      <c r="T2787" s="573"/>
      <c r="U2787" s="573"/>
      <c r="V2787" s="573"/>
      <c r="W2787" s="573"/>
      <c r="X2787" s="573"/>
      <c r="Y2787" s="573"/>
      <c r="Z2787" s="573"/>
    </row>
    <row r="2788" spans="1:26" ht="18.75">
      <c r="A2788" s="677"/>
      <c r="B2788" s="677"/>
      <c r="C2788" s="677"/>
      <c r="D2788" s="896"/>
      <c r="E2788" s="677"/>
      <c r="F2788" s="677"/>
      <c r="G2788" s="677"/>
      <c r="H2788" s="897"/>
      <c r="I2788" s="898"/>
      <c r="J2788" s="898"/>
      <c r="K2788" s="899"/>
      <c r="L2788" s="899"/>
      <c r="M2788" s="899"/>
      <c r="N2788" s="899"/>
      <c r="O2788" s="899"/>
      <c r="P2788" s="899"/>
      <c r="Q2788" s="573"/>
      <c r="R2788" s="573"/>
      <c r="S2788" s="573"/>
      <c r="T2788" s="573"/>
      <c r="U2788" s="573"/>
      <c r="V2788" s="573"/>
      <c r="W2788" s="573"/>
      <c r="X2788" s="573"/>
      <c r="Y2788" s="573"/>
      <c r="Z2788" s="573"/>
    </row>
    <row r="2789" spans="1:26" ht="18.75">
      <c r="A2789" s="677"/>
      <c r="B2789" s="677"/>
      <c r="C2789" s="677"/>
      <c r="D2789" s="896"/>
      <c r="E2789" s="677"/>
      <c r="F2789" s="677"/>
      <c r="G2789" s="677"/>
      <c r="H2789" s="897"/>
      <c r="I2789" s="898"/>
      <c r="J2789" s="898"/>
      <c r="K2789" s="899"/>
      <c r="L2789" s="899"/>
      <c r="M2789" s="899"/>
      <c r="N2789" s="899"/>
      <c r="O2789" s="899"/>
      <c r="P2789" s="899"/>
      <c r="Q2789" s="573"/>
      <c r="R2789" s="573"/>
      <c r="S2789" s="573"/>
      <c r="T2789" s="573"/>
      <c r="U2789" s="573"/>
      <c r="V2789" s="573"/>
      <c r="W2789" s="573"/>
      <c r="X2789" s="573"/>
      <c r="Y2789" s="573"/>
      <c r="Z2789" s="573"/>
    </row>
    <row r="2790" spans="1:26" ht="18.75">
      <c r="A2790" s="677"/>
      <c r="B2790" s="677"/>
      <c r="C2790" s="677"/>
      <c r="D2790" s="896"/>
      <c r="E2790" s="677"/>
      <c r="F2790" s="677"/>
      <c r="G2790" s="677"/>
      <c r="H2790" s="897"/>
      <c r="I2790" s="898"/>
      <c r="J2790" s="898"/>
      <c r="K2790" s="899"/>
      <c r="L2790" s="899"/>
      <c r="M2790" s="899"/>
      <c r="N2790" s="899"/>
      <c r="O2790" s="899"/>
      <c r="P2790" s="899"/>
      <c r="Q2790" s="573"/>
      <c r="R2790" s="573"/>
      <c r="S2790" s="573"/>
      <c r="T2790" s="573"/>
      <c r="U2790" s="573"/>
      <c r="V2790" s="573"/>
      <c r="W2790" s="573"/>
      <c r="X2790" s="573"/>
      <c r="Y2790" s="573"/>
      <c r="Z2790" s="573"/>
    </row>
    <row r="2791" spans="1:26" ht="18.75">
      <c r="A2791" s="677"/>
      <c r="B2791" s="677"/>
      <c r="C2791" s="677"/>
      <c r="D2791" s="896"/>
      <c r="E2791" s="677"/>
      <c r="F2791" s="677"/>
      <c r="G2791" s="677"/>
      <c r="H2791" s="897"/>
      <c r="I2791" s="898"/>
      <c r="J2791" s="898"/>
      <c r="K2791" s="899"/>
      <c r="L2791" s="899"/>
      <c r="M2791" s="899"/>
      <c r="N2791" s="899"/>
      <c r="O2791" s="899"/>
      <c r="P2791" s="899"/>
      <c r="Q2791" s="573"/>
      <c r="R2791" s="573"/>
      <c r="S2791" s="573"/>
      <c r="T2791" s="573"/>
      <c r="U2791" s="573"/>
      <c r="V2791" s="573"/>
      <c r="W2791" s="573"/>
      <c r="X2791" s="573"/>
      <c r="Y2791" s="573"/>
      <c r="Z2791" s="573"/>
    </row>
    <row r="2792" spans="1:26" ht="18.75">
      <c r="A2792" s="677"/>
      <c r="B2792" s="677"/>
      <c r="C2792" s="677"/>
      <c r="D2792" s="896"/>
      <c r="E2792" s="677"/>
      <c r="F2792" s="677"/>
      <c r="G2792" s="677"/>
      <c r="H2792" s="897"/>
      <c r="I2792" s="898"/>
      <c r="J2792" s="898"/>
      <c r="K2792" s="899"/>
      <c r="L2792" s="899"/>
      <c r="M2792" s="899"/>
      <c r="N2792" s="899"/>
      <c r="O2792" s="899"/>
      <c r="P2792" s="899"/>
      <c r="Q2792" s="573"/>
      <c r="R2792" s="573"/>
      <c r="S2792" s="573"/>
      <c r="T2792" s="573"/>
      <c r="U2792" s="573"/>
      <c r="V2792" s="573"/>
      <c r="W2792" s="573"/>
      <c r="X2792" s="573"/>
      <c r="Y2792" s="573"/>
      <c r="Z2792" s="573"/>
    </row>
    <row r="2793" spans="1:26" ht="18.75">
      <c r="A2793" s="677"/>
      <c r="B2793" s="677"/>
      <c r="C2793" s="677"/>
      <c r="D2793" s="896"/>
      <c r="E2793" s="677"/>
      <c r="F2793" s="677"/>
      <c r="G2793" s="677"/>
      <c r="H2793" s="897"/>
      <c r="I2793" s="898"/>
      <c r="J2793" s="898"/>
      <c r="K2793" s="899"/>
      <c r="L2793" s="899"/>
      <c r="M2793" s="899"/>
      <c r="N2793" s="899"/>
      <c r="O2793" s="899"/>
      <c r="P2793" s="899"/>
      <c r="Q2793" s="573"/>
      <c r="R2793" s="573"/>
      <c r="S2793" s="573"/>
      <c r="T2793" s="573"/>
      <c r="U2793" s="573"/>
      <c r="V2793" s="573"/>
      <c r="W2793" s="573"/>
      <c r="X2793" s="573"/>
      <c r="Y2793" s="573"/>
      <c r="Z2793" s="573"/>
    </row>
    <row r="2794" spans="1:26" ht="18.75">
      <c r="A2794" s="677"/>
      <c r="B2794" s="677"/>
      <c r="C2794" s="677"/>
      <c r="D2794" s="896"/>
      <c r="E2794" s="677"/>
      <c r="F2794" s="677"/>
      <c r="G2794" s="677"/>
      <c r="H2794" s="897"/>
      <c r="I2794" s="898"/>
      <c r="J2794" s="898"/>
      <c r="K2794" s="899"/>
      <c r="L2794" s="899"/>
      <c r="M2794" s="899"/>
      <c r="N2794" s="899"/>
      <c r="O2794" s="899"/>
      <c r="P2794" s="899"/>
      <c r="Q2794" s="573"/>
      <c r="R2794" s="573"/>
      <c r="S2794" s="573"/>
      <c r="T2794" s="573"/>
      <c r="U2794" s="573"/>
      <c r="V2794" s="573"/>
      <c r="W2794" s="573"/>
      <c r="X2794" s="573"/>
      <c r="Y2794" s="573"/>
      <c r="Z2794" s="573"/>
    </row>
    <row r="2795" spans="1:26" ht="18.75">
      <c r="A2795" s="677"/>
      <c r="B2795" s="677"/>
      <c r="C2795" s="677"/>
      <c r="D2795" s="896"/>
      <c r="E2795" s="677"/>
      <c r="F2795" s="677"/>
      <c r="G2795" s="677"/>
      <c r="H2795" s="897"/>
      <c r="I2795" s="898"/>
      <c r="J2795" s="898"/>
      <c r="K2795" s="899"/>
      <c r="L2795" s="899"/>
      <c r="M2795" s="899"/>
      <c r="N2795" s="899"/>
      <c r="O2795" s="899"/>
      <c r="P2795" s="899"/>
      <c r="Q2795" s="573"/>
      <c r="R2795" s="573"/>
      <c r="S2795" s="573"/>
      <c r="T2795" s="573"/>
      <c r="U2795" s="573"/>
      <c r="V2795" s="573"/>
      <c r="W2795" s="573"/>
      <c r="X2795" s="573"/>
      <c r="Y2795" s="573"/>
      <c r="Z2795" s="573"/>
    </row>
    <row r="2796" spans="1:26" ht="18.75">
      <c r="A2796" s="677"/>
      <c r="B2796" s="677"/>
      <c r="C2796" s="677"/>
      <c r="D2796" s="896"/>
      <c r="E2796" s="677"/>
      <c r="F2796" s="677"/>
      <c r="G2796" s="677"/>
      <c r="H2796" s="897"/>
      <c r="I2796" s="898"/>
      <c r="J2796" s="898"/>
      <c r="K2796" s="899"/>
      <c r="L2796" s="899"/>
      <c r="M2796" s="899"/>
      <c r="N2796" s="899"/>
      <c r="O2796" s="899"/>
      <c r="P2796" s="899"/>
      <c r="Q2796" s="573"/>
      <c r="R2796" s="573"/>
      <c r="S2796" s="573"/>
      <c r="T2796" s="573"/>
      <c r="U2796" s="573"/>
      <c r="V2796" s="573"/>
      <c r="W2796" s="573"/>
      <c r="X2796" s="573"/>
      <c r="Y2796" s="573"/>
      <c r="Z2796" s="573"/>
    </row>
    <row r="2797" spans="1:26" ht="18.75">
      <c r="A2797" s="677"/>
      <c r="B2797" s="677"/>
      <c r="C2797" s="677"/>
      <c r="D2797" s="896"/>
      <c r="E2797" s="677"/>
      <c r="F2797" s="677"/>
      <c r="G2797" s="677"/>
      <c r="H2797" s="897"/>
      <c r="I2797" s="898"/>
      <c r="J2797" s="898"/>
      <c r="K2797" s="899"/>
      <c r="L2797" s="899"/>
      <c r="M2797" s="899"/>
      <c r="N2797" s="899"/>
      <c r="O2797" s="899"/>
      <c r="P2797" s="899"/>
      <c r="Q2797" s="573"/>
      <c r="R2797" s="573"/>
      <c r="S2797" s="573"/>
      <c r="T2797" s="573"/>
      <c r="U2797" s="573"/>
      <c r="V2797" s="573"/>
      <c r="W2797" s="573"/>
      <c r="X2797" s="573"/>
      <c r="Y2797" s="573"/>
      <c r="Z2797" s="573"/>
    </row>
    <row r="2798" spans="1:26" ht="18.75">
      <c r="A2798" s="677"/>
      <c r="B2798" s="677"/>
      <c r="C2798" s="677"/>
      <c r="D2798" s="896"/>
      <c r="E2798" s="677"/>
      <c r="F2798" s="677"/>
      <c r="G2798" s="677"/>
      <c r="H2798" s="897"/>
      <c r="I2798" s="898"/>
      <c r="J2798" s="898"/>
      <c r="K2798" s="899"/>
      <c r="L2798" s="899"/>
      <c r="M2798" s="899"/>
      <c r="N2798" s="899"/>
      <c r="O2798" s="899"/>
      <c r="P2798" s="899"/>
      <c r="Q2798" s="573"/>
      <c r="R2798" s="573"/>
      <c r="S2798" s="573"/>
      <c r="T2798" s="573"/>
      <c r="U2798" s="573"/>
      <c r="V2798" s="573"/>
      <c r="W2798" s="573"/>
      <c r="X2798" s="573"/>
      <c r="Y2798" s="573"/>
      <c r="Z2798" s="573"/>
    </row>
    <row r="2799" spans="1:26" ht="18.75">
      <c r="A2799" s="677"/>
      <c r="B2799" s="677"/>
      <c r="C2799" s="677"/>
      <c r="D2799" s="896"/>
      <c r="E2799" s="677"/>
      <c r="F2799" s="677"/>
      <c r="G2799" s="677"/>
      <c r="H2799" s="897"/>
      <c r="I2799" s="898"/>
      <c r="J2799" s="898"/>
      <c r="K2799" s="899"/>
      <c r="L2799" s="899"/>
      <c r="M2799" s="899"/>
      <c r="N2799" s="899"/>
      <c r="O2799" s="899"/>
      <c r="P2799" s="899"/>
      <c r="Q2799" s="573"/>
      <c r="R2799" s="573"/>
      <c r="S2799" s="573"/>
      <c r="T2799" s="573"/>
      <c r="U2799" s="573"/>
      <c r="V2799" s="573"/>
      <c r="W2799" s="573"/>
      <c r="X2799" s="573"/>
      <c r="Y2799" s="573"/>
      <c r="Z2799" s="573"/>
    </row>
    <row r="2800" spans="1:26" ht="18.75">
      <c r="A2800" s="677"/>
      <c r="B2800" s="677"/>
      <c r="C2800" s="677"/>
      <c r="D2800" s="896"/>
      <c r="E2800" s="677"/>
      <c r="F2800" s="677"/>
      <c r="G2800" s="677"/>
      <c r="H2800" s="897"/>
      <c r="I2800" s="898"/>
      <c r="J2800" s="898"/>
      <c r="K2800" s="899"/>
      <c r="L2800" s="899"/>
      <c r="M2800" s="899"/>
      <c r="N2800" s="899"/>
      <c r="O2800" s="899"/>
      <c r="P2800" s="899"/>
      <c r="Q2800" s="573"/>
      <c r="R2800" s="573"/>
      <c r="S2800" s="573"/>
      <c r="T2800" s="573"/>
      <c r="U2800" s="573"/>
      <c r="V2800" s="573"/>
      <c r="W2800" s="573"/>
      <c r="X2800" s="573"/>
      <c r="Y2800" s="573"/>
      <c r="Z2800" s="573"/>
    </row>
    <row r="2801" spans="1:26" ht="18.75">
      <c r="A2801" s="677"/>
      <c r="B2801" s="677"/>
      <c r="C2801" s="677"/>
      <c r="D2801" s="896"/>
      <c r="E2801" s="677"/>
      <c r="F2801" s="677"/>
      <c r="G2801" s="677"/>
      <c r="H2801" s="897"/>
      <c r="I2801" s="898"/>
      <c r="J2801" s="898"/>
      <c r="K2801" s="899"/>
      <c r="L2801" s="899"/>
      <c r="M2801" s="899"/>
      <c r="N2801" s="899"/>
      <c r="O2801" s="899"/>
      <c r="P2801" s="899"/>
      <c r="Q2801" s="573"/>
      <c r="R2801" s="573"/>
      <c r="S2801" s="573"/>
      <c r="T2801" s="573"/>
      <c r="U2801" s="573"/>
      <c r="V2801" s="573"/>
      <c r="W2801" s="573"/>
      <c r="X2801" s="573"/>
      <c r="Y2801" s="573"/>
      <c r="Z2801" s="573"/>
    </row>
    <row r="2802" spans="1:26" ht="18.75">
      <c r="A2802" s="677"/>
      <c r="B2802" s="677"/>
      <c r="C2802" s="677"/>
      <c r="D2802" s="896"/>
      <c r="E2802" s="677"/>
      <c r="F2802" s="677"/>
      <c r="G2802" s="677"/>
      <c r="H2802" s="897"/>
      <c r="I2802" s="898"/>
      <c r="J2802" s="898"/>
      <c r="K2802" s="899"/>
      <c r="L2802" s="899"/>
      <c r="M2802" s="899"/>
      <c r="N2802" s="899"/>
      <c r="O2802" s="899"/>
      <c r="P2802" s="899"/>
      <c r="Q2802" s="573"/>
      <c r="R2802" s="573"/>
      <c r="S2802" s="573"/>
      <c r="T2802" s="573"/>
      <c r="U2802" s="573"/>
      <c r="V2802" s="573"/>
      <c r="W2802" s="573"/>
      <c r="X2802" s="573"/>
      <c r="Y2802" s="573"/>
      <c r="Z2802" s="573"/>
    </row>
    <row r="2803" spans="1:26" ht="18.75">
      <c r="A2803" s="677"/>
      <c r="B2803" s="677"/>
      <c r="C2803" s="677"/>
      <c r="D2803" s="896"/>
      <c r="E2803" s="677"/>
      <c r="F2803" s="677"/>
      <c r="G2803" s="677"/>
      <c r="H2803" s="897"/>
      <c r="I2803" s="898"/>
      <c r="J2803" s="898"/>
      <c r="K2803" s="899"/>
      <c r="L2803" s="899"/>
      <c r="M2803" s="899"/>
      <c r="N2803" s="899"/>
      <c r="O2803" s="899"/>
      <c r="P2803" s="899"/>
      <c r="Q2803" s="573"/>
      <c r="R2803" s="573"/>
      <c r="S2803" s="573"/>
      <c r="T2803" s="573"/>
      <c r="U2803" s="573"/>
      <c r="V2803" s="573"/>
      <c r="W2803" s="573"/>
      <c r="X2803" s="573"/>
      <c r="Y2803" s="573"/>
      <c r="Z2803" s="573"/>
    </row>
    <row r="2804" spans="1:26" ht="18.75">
      <c r="A2804" s="677"/>
      <c r="B2804" s="677"/>
      <c r="C2804" s="677"/>
      <c r="D2804" s="896"/>
      <c r="E2804" s="677"/>
      <c r="F2804" s="677"/>
      <c r="G2804" s="677"/>
      <c r="H2804" s="897"/>
      <c r="I2804" s="898"/>
      <c r="J2804" s="898"/>
      <c r="K2804" s="899"/>
      <c r="L2804" s="899"/>
      <c r="M2804" s="899"/>
      <c r="N2804" s="899"/>
      <c r="O2804" s="899"/>
      <c r="P2804" s="899"/>
      <c r="Q2804" s="573"/>
      <c r="R2804" s="573"/>
      <c r="S2804" s="573"/>
      <c r="T2804" s="573"/>
      <c r="U2804" s="573"/>
      <c r="V2804" s="573"/>
      <c r="W2804" s="573"/>
      <c r="X2804" s="573"/>
      <c r="Y2804" s="573"/>
      <c r="Z2804" s="573"/>
    </row>
    <row r="2805" spans="1:26" ht="18.75">
      <c r="A2805" s="677"/>
      <c r="B2805" s="677"/>
      <c r="C2805" s="677"/>
      <c r="D2805" s="896"/>
      <c r="E2805" s="677"/>
      <c r="F2805" s="677"/>
      <c r="G2805" s="677"/>
      <c r="H2805" s="897"/>
      <c r="I2805" s="898"/>
      <c r="J2805" s="898"/>
      <c r="K2805" s="899"/>
      <c r="L2805" s="899"/>
      <c r="M2805" s="899"/>
      <c r="N2805" s="899"/>
      <c r="O2805" s="899"/>
      <c r="P2805" s="899"/>
      <c r="Q2805" s="573"/>
      <c r="R2805" s="573"/>
      <c r="S2805" s="573"/>
      <c r="T2805" s="573"/>
      <c r="U2805" s="573"/>
      <c r="V2805" s="573"/>
      <c r="W2805" s="573"/>
      <c r="X2805" s="573"/>
      <c r="Y2805" s="573"/>
      <c r="Z2805" s="573"/>
    </row>
    <row r="2806" spans="1:26" ht="18.75">
      <c r="A2806" s="677"/>
      <c r="B2806" s="677"/>
      <c r="C2806" s="677"/>
      <c r="D2806" s="896"/>
      <c r="E2806" s="677"/>
      <c r="F2806" s="677"/>
      <c r="G2806" s="677"/>
      <c r="H2806" s="897"/>
      <c r="I2806" s="898"/>
      <c r="J2806" s="898"/>
      <c r="K2806" s="899"/>
      <c r="L2806" s="899"/>
      <c r="M2806" s="899"/>
      <c r="N2806" s="899"/>
      <c r="O2806" s="899"/>
      <c r="P2806" s="899"/>
      <c r="Q2806" s="573"/>
      <c r="R2806" s="573"/>
      <c r="S2806" s="573"/>
      <c r="T2806" s="573"/>
      <c r="U2806" s="573"/>
      <c r="V2806" s="573"/>
      <c r="W2806" s="573"/>
      <c r="X2806" s="573"/>
      <c r="Y2806" s="573"/>
      <c r="Z2806" s="573"/>
    </row>
    <row r="2807" spans="1:26" ht="18.75">
      <c r="A2807" s="677"/>
      <c r="B2807" s="677"/>
      <c r="C2807" s="677"/>
      <c r="D2807" s="896"/>
      <c r="E2807" s="677"/>
      <c r="F2807" s="677"/>
      <c r="G2807" s="677"/>
      <c r="H2807" s="897"/>
      <c r="I2807" s="898"/>
      <c r="J2807" s="898"/>
      <c r="K2807" s="899"/>
      <c r="L2807" s="899"/>
      <c r="M2807" s="899"/>
      <c r="N2807" s="899"/>
      <c r="O2807" s="899"/>
      <c r="P2807" s="899"/>
      <c r="Q2807" s="573"/>
      <c r="R2807" s="573"/>
      <c r="S2807" s="573"/>
      <c r="T2807" s="573"/>
      <c r="U2807" s="573"/>
      <c r="V2807" s="573"/>
      <c r="W2807" s="573"/>
      <c r="X2807" s="573"/>
      <c r="Y2807" s="573"/>
      <c r="Z2807" s="573"/>
    </row>
    <row r="2808" spans="1:26" ht="18.75">
      <c r="A2808" s="677"/>
      <c r="B2808" s="677"/>
      <c r="C2808" s="677"/>
      <c r="D2808" s="896"/>
      <c r="E2808" s="677"/>
      <c r="F2808" s="677"/>
      <c r="G2808" s="677"/>
      <c r="H2808" s="897"/>
      <c r="I2808" s="898"/>
      <c r="J2808" s="898"/>
      <c r="K2808" s="899"/>
      <c r="L2808" s="899"/>
      <c r="M2808" s="899"/>
      <c r="N2808" s="899"/>
      <c r="O2808" s="899"/>
      <c r="P2808" s="899"/>
      <c r="Q2808" s="573"/>
      <c r="R2808" s="573"/>
      <c r="S2808" s="573"/>
      <c r="T2808" s="573"/>
      <c r="U2808" s="573"/>
      <c r="V2808" s="573"/>
      <c r="W2808" s="573"/>
      <c r="X2808" s="573"/>
      <c r="Y2808" s="573"/>
      <c r="Z2808" s="573"/>
    </row>
    <row r="2809" spans="1:26" ht="18.75">
      <c r="A2809" s="677"/>
      <c r="B2809" s="677"/>
      <c r="C2809" s="677"/>
      <c r="D2809" s="896"/>
      <c r="E2809" s="677"/>
      <c r="F2809" s="677"/>
      <c r="G2809" s="677"/>
      <c r="H2809" s="897"/>
      <c r="I2809" s="898"/>
      <c r="J2809" s="898"/>
      <c r="K2809" s="899"/>
      <c r="L2809" s="899"/>
      <c r="M2809" s="899"/>
      <c r="N2809" s="899"/>
      <c r="O2809" s="899"/>
      <c r="P2809" s="899"/>
      <c r="Q2809" s="573"/>
      <c r="R2809" s="573"/>
      <c r="S2809" s="573"/>
      <c r="T2809" s="573"/>
      <c r="U2809" s="573"/>
      <c r="V2809" s="573"/>
      <c r="W2809" s="573"/>
      <c r="X2809" s="573"/>
      <c r="Y2809" s="573"/>
      <c r="Z2809" s="573"/>
    </row>
    <row r="2810" spans="1:26" ht="18.75">
      <c r="A2810" s="677"/>
      <c r="B2810" s="677"/>
      <c r="C2810" s="677"/>
      <c r="D2810" s="896"/>
      <c r="E2810" s="677"/>
      <c r="F2810" s="677"/>
      <c r="G2810" s="677"/>
      <c r="H2810" s="897"/>
      <c r="I2810" s="898"/>
      <c r="J2810" s="898"/>
      <c r="K2810" s="899"/>
      <c r="L2810" s="899"/>
      <c r="M2810" s="899"/>
      <c r="N2810" s="899"/>
      <c r="O2810" s="899"/>
      <c r="P2810" s="899"/>
      <c r="Q2810" s="573"/>
      <c r="R2810" s="573"/>
      <c r="S2810" s="573"/>
      <c r="T2810" s="573"/>
      <c r="U2810" s="573"/>
      <c r="V2810" s="573"/>
      <c r="W2810" s="573"/>
      <c r="X2810" s="573"/>
      <c r="Y2810" s="573"/>
      <c r="Z2810" s="573"/>
    </row>
    <row r="2811" spans="1:26" ht="18.75">
      <c r="A2811" s="677"/>
      <c r="B2811" s="677"/>
      <c r="C2811" s="677"/>
      <c r="D2811" s="896"/>
      <c r="E2811" s="677"/>
      <c r="F2811" s="677"/>
      <c r="G2811" s="677"/>
      <c r="H2811" s="897"/>
      <c r="I2811" s="898"/>
      <c r="J2811" s="898"/>
      <c r="K2811" s="899"/>
      <c r="L2811" s="899"/>
      <c r="M2811" s="899"/>
      <c r="N2811" s="899"/>
      <c r="O2811" s="899"/>
      <c r="P2811" s="899"/>
      <c r="Q2811" s="573"/>
      <c r="R2811" s="573"/>
      <c r="S2811" s="573"/>
      <c r="T2811" s="573"/>
      <c r="U2811" s="573"/>
      <c r="V2811" s="573"/>
      <c r="W2811" s="573"/>
      <c r="X2811" s="573"/>
      <c r="Y2811" s="573"/>
      <c r="Z2811" s="573"/>
    </row>
    <row r="2812" spans="1:26" ht="18.75">
      <c r="A2812" s="677"/>
      <c r="B2812" s="677"/>
      <c r="C2812" s="677"/>
      <c r="D2812" s="896"/>
      <c r="E2812" s="677"/>
      <c r="F2812" s="677"/>
      <c r="G2812" s="677"/>
      <c r="H2812" s="897"/>
      <c r="I2812" s="898"/>
      <c r="J2812" s="898"/>
      <c r="K2812" s="899"/>
      <c r="L2812" s="899"/>
      <c r="M2812" s="899"/>
      <c r="N2812" s="899"/>
      <c r="O2812" s="899"/>
      <c r="P2812" s="899"/>
      <c r="Q2812" s="573"/>
      <c r="R2812" s="573"/>
      <c r="S2812" s="573"/>
      <c r="T2812" s="573"/>
      <c r="U2812" s="573"/>
      <c r="V2812" s="573"/>
      <c r="W2812" s="573"/>
      <c r="X2812" s="573"/>
      <c r="Y2812" s="573"/>
      <c r="Z2812" s="573"/>
    </row>
    <row r="2813" spans="1:26" ht="18.75">
      <c r="A2813" s="677"/>
      <c r="B2813" s="677"/>
      <c r="C2813" s="677"/>
      <c r="D2813" s="896"/>
      <c r="E2813" s="677"/>
      <c r="F2813" s="677"/>
      <c r="G2813" s="677"/>
      <c r="H2813" s="897"/>
      <c r="I2813" s="898"/>
      <c r="J2813" s="898"/>
      <c r="K2813" s="899"/>
      <c r="L2813" s="899"/>
      <c r="M2813" s="899"/>
      <c r="N2813" s="899"/>
      <c r="O2813" s="899"/>
      <c r="P2813" s="899"/>
      <c r="Q2813" s="573"/>
      <c r="R2813" s="573"/>
      <c r="S2813" s="573"/>
      <c r="T2813" s="573"/>
      <c r="U2813" s="573"/>
      <c r="V2813" s="573"/>
      <c r="W2813" s="573"/>
      <c r="X2813" s="573"/>
      <c r="Y2813" s="573"/>
      <c r="Z2813" s="573"/>
    </row>
    <row r="2814" spans="1:26" ht="18.75">
      <c r="A2814" s="677"/>
      <c r="B2814" s="677"/>
      <c r="C2814" s="677"/>
      <c r="D2814" s="896"/>
      <c r="E2814" s="677"/>
      <c r="F2814" s="677"/>
      <c r="G2814" s="677"/>
      <c r="H2814" s="897"/>
      <c r="I2814" s="898"/>
      <c r="J2814" s="898"/>
      <c r="K2814" s="899"/>
      <c r="L2814" s="899"/>
      <c r="M2814" s="899"/>
      <c r="N2814" s="899"/>
      <c r="O2814" s="899"/>
      <c r="P2814" s="899"/>
      <c r="Q2814" s="573"/>
      <c r="R2814" s="573"/>
      <c r="S2814" s="573"/>
      <c r="T2814" s="573"/>
      <c r="U2814" s="573"/>
      <c r="V2814" s="573"/>
      <c r="W2814" s="573"/>
      <c r="X2814" s="573"/>
      <c r="Y2814" s="573"/>
      <c r="Z2814" s="573"/>
    </row>
    <row r="2815" spans="1:26" ht="18.75">
      <c r="A2815" s="677"/>
      <c r="B2815" s="677"/>
      <c r="C2815" s="677"/>
      <c r="D2815" s="896"/>
      <c r="E2815" s="677"/>
      <c r="F2815" s="677"/>
      <c r="G2815" s="677"/>
      <c r="H2815" s="897"/>
      <c r="I2815" s="898"/>
      <c r="J2815" s="898"/>
      <c r="K2815" s="899"/>
      <c r="L2815" s="899"/>
      <c r="M2815" s="899"/>
      <c r="N2815" s="899"/>
      <c r="O2815" s="899"/>
      <c r="P2815" s="899"/>
      <c r="Q2815" s="573"/>
      <c r="R2815" s="573"/>
      <c r="S2815" s="573"/>
      <c r="T2815" s="573"/>
      <c r="U2815" s="573"/>
      <c r="V2815" s="573"/>
      <c r="W2815" s="573"/>
      <c r="X2815" s="573"/>
      <c r="Y2815" s="573"/>
      <c r="Z2815" s="573"/>
    </row>
    <row r="2816" spans="1:26" ht="18.75">
      <c r="A2816" s="677"/>
      <c r="B2816" s="677"/>
      <c r="C2816" s="677"/>
      <c r="D2816" s="896"/>
      <c r="E2816" s="677"/>
      <c r="F2816" s="677"/>
      <c r="G2816" s="677"/>
      <c r="H2816" s="897"/>
      <c r="I2816" s="898"/>
      <c r="J2816" s="898"/>
      <c r="K2816" s="899"/>
      <c r="L2816" s="899"/>
      <c r="M2816" s="899"/>
      <c r="N2816" s="899"/>
      <c r="O2816" s="899"/>
      <c r="P2816" s="899"/>
      <c r="Q2816" s="573"/>
      <c r="R2816" s="573"/>
      <c r="S2816" s="573"/>
      <c r="T2816" s="573"/>
      <c r="U2816" s="573"/>
      <c r="V2816" s="573"/>
      <c r="W2816" s="573"/>
      <c r="X2816" s="573"/>
      <c r="Y2816" s="573"/>
      <c r="Z2816" s="573"/>
    </row>
    <row r="2817" spans="1:26" ht="18.75">
      <c r="A2817" s="677"/>
      <c r="B2817" s="677"/>
      <c r="C2817" s="677"/>
      <c r="D2817" s="896"/>
      <c r="E2817" s="677"/>
      <c r="F2817" s="677"/>
      <c r="G2817" s="677"/>
      <c r="H2817" s="897"/>
      <c r="I2817" s="898"/>
      <c r="J2817" s="898"/>
      <c r="K2817" s="899"/>
      <c r="L2817" s="899"/>
      <c r="M2817" s="899"/>
      <c r="N2817" s="899"/>
      <c r="O2817" s="899"/>
      <c r="P2817" s="899"/>
      <c r="Q2817" s="573"/>
      <c r="R2817" s="573"/>
      <c r="S2817" s="573"/>
      <c r="T2817" s="573"/>
      <c r="U2817" s="573"/>
      <c r="V2817" s="573"/>
      <c r="W2817" s="573"/>
      <c r="X2817" s="573"/>
      <c r="Y2817" s="573"/>
      <c r="Z2817" s="573"/>
    </row>
    <row r="2818" spans="1:26" ht="18.75">
      <c r="A2818" s="677"/>
      <c r="B2818" s="677"/>
      <c r="C2818" s="677"/>
      <c r="D2818" s="896"/>
      <c r="E2818" s="677"/>
      <c r="F2818" s="677"/>
      <c r="G2818" s="677"/>
      <c r="H2818" s="897"/>
      <c r="I2818" s="898"/>
      <c r="J2818" s="898"/>
      <c r="K2818" s="899"/>
      <c r="L2818" s="899"/>
      <c r="M2818" s="899"/>
      <c r="N2818" s="899"/>
      <c r="O2818" s="899"/>
      <c r="P2818" s="899"/>
      <c r="Q2818" s="573"/>
      <c r="R2818" s="573"/>
      <c r="S2818" s="573"/>
      <c r="T2818" s="573"/>
      <c r="U2818" s="573"/>
      <c r="V2818" s="573"/>
      <c r="W2818" s="573"/>
      <c r="X2818" s="573"/>
      <c r="Y2818" s="573"/>
      <c r="Z2818" s="573"/>
    </row>
    <row r="2819" spans="1:26" ht="18.75">
      <c r="A2819" s="677"/>
      <c r="B2819" s="677"/>
      <c r="C2819" s="677"/>
      <c r="D2819" s="896"/>
      <c r="E2819" s="677"/>
      <c r="F2819" s="677"/>
      <c r="G2819" s="677"/>
      <c r="H2819" s="897"/>
      <c r="I2819" s="898"/>
      <c r="J2819" s="898"/>
      <c r="K2819" s="899"/>
      <c r="L2819" s="899"/>
      <c r="M2819" s="899"/>
      <c r="N2819" s="899"/>
      <c r="O2819" s="899"/>
      <c r="P2819" s="899"/>
      <c r="Q2819" s="573"/>
      <c r="R2819" s="573"/>
      <c r="S2819" s="573"/>
      <c r="T2819" s="573"/>
      <c r="U2819" s="573"/>
      <c r="V2819" s="573"/>
      <c r="W2819" s="573"/>
      <c r="X2819" s="573"/>
      <c r="Y2819" s="573"/>
      <c r="Z2819" s="573"/>
    </row>
    <row r="2820" spans="1:26" ht="18.75">
      <c r="A2820" s="677"/>
      <c r="B2820" s="677"/>
      <c r="C2820" s="677"/>
      <c r="D2820" s="896"/>
      <c r="E2820" s="677"/>
      <c r="F2820" s="677"/>
      <c r="G2820" s="677"/>
      <c r="H2820" s="897"/>
      <c r="I2820" s="898"/>
      <c r="J2820" s="898"/>
      <c r="K2820" s="899"/>
      <c r="L2820" s="899"/>
      <c r="M2820" s="899"/>
      <c r="N2820" s="899"/>
      <c r="O2820" s="899"/>
      <c r="P2820" s="899"/>
      <c r="Q2820" s="573"/>
      <c r="R2820" s="573"/>
      <c r="S2820" s="573"/>
      <c r="T2820" s="573"/>
      <c r="U2820" s="573"/>
      <c r="V2820" s="573"/>
      <c r="W2820" s="573"/>
      <c r="X2820" s="573"/>
      <c r="Y2820" s="573"/>
      <c r="Z2820" s="573"/>
    </row>
    <row r="2821" spans="1:26" ht="18.75">
      <c r="A2821" s="677"/>
      <c r="B2821" s="677"/>
      <c r="C2821" s="677"/>
      <c r="D2821" s="896"/>
      <c r="E2821" s="677"/>
      <c r="F2821" s="677"/>
      <c r="G2821" s="677"/>
      <c r="H2821" s="897"/>
      <c r="I2821" s="898"/>
      <c r="J2821" s="898"/>
      <c r="K2821" s="899"/>
      <c r="L2821" s="899"/>
      <c r="M2821" s="899"/>
      <c r="N2821" s="899"/>
      <c r="O2821" s="899"/>
      <c r="P2821" s="899"/>
      <c r="Q2821" s="573"/>
      <c r="R2821" s="573"/>
      <c r="S2821" s="573"/>
      <c r="T2821" s="573"/>
      <c r="U2821" s="573"/>
      <c r="V2821" s="573"/>
      <c r="W2821" s="573"/>
      <c r="X2821" s="573"/>
      <c r="Y2821" s="573"/>
      <c r="Z2821" s="573"/>
    </row>
    <row r="2822" spans="1:26" ht="18.75">
      <c r="A2822" s="677"/>
      <c r="B2822" s="677"/>
      <c r="C2822" s="677"/>
      <c r="D2822" s="896"/>
      <c r="E2822" s="677"/>
      <c r="F2822" s="677"/>
      <c r="G2822" s="677"/>
      <c r="H2822" s="897"/>
      <c r="I2822" s="898"/>
      <c r="J2822" s="898"/>
      <c r="K2822" s="899"/>
      <c r="L2822" s="899"/>
      <c r="M2822" s="899"/>
      <c r="N2822" s="899"/>
      <c r="O2822" s="899"/>
      <c r="P2822" s="899"/>
      <c r="Q2822" s="573"/>
      <c r="R2822" s="573"/>
      <c r="S2822" s="573"/>
      <c r="T2822" s="573"/>
      <c r="U2822" s="573"/>
      <c r="V2822" s="573"/>
      <c r="W2822" s="573"/>
      <c r="X2822" s="573"/>
      <c r="Y2822" s="573"/>
      <c r="Z2822" s="573"/>
    </row>
    <row r="2823" spans="1:26" ht="18.75">
      <c r="A2823" s="677"/>
      <c r="B2823" s="677"/>
      <c r="C2823" s="677"/>
      <c r="D2823" s="896"/>
      <c r="E2823" s="677"/>
      <c r="F2823" s="677"/>
      <c r="G2823" s="677"/>
      <c r="H2823" s="897"/>
      <c r="I2823" s="898"/>
      <c r="J2823" s="898"/>
      <c r="K2823" s="899"/>
      <c r="L2823" s="899"/>
      <c r="M2823" s="899"/>
      <c r="N2823" s="899"/>
      <c r="O2823" s="899"/>
      <c r="P2823" s="899"/>
      <c r="Q2823" s="573"/>
      <c r="R2823" s="573"/>
      <c r="S2823" s="573"/>
      <c r="T2823" s="573"/>
      <c r="U2823" s="573"/>
      <c r="V2823" s="573"/>
      <c r="W2823" s="573"/>
      <c r="X2823" s="573"/>
      <c r="Y2823" s="573"/>
      <c r="Z2823" s="573"/>
    </row>
    <row r="2824" spans="1:26" ht="18.75">
      <c r="A2824" s="677"/>
      <c r="B2824" s="677"/>
      <c r="C2824" s="677"/>
      <c r="D2824" s="896"/>
      <c r="E2824" s="677"/>
      <c r="F2824" s="677"/>
      <c r="G2824" s="677"/>
      <c r="H2824" s="897"/>
      <c r="I2824" s="898"/>
      <c r="J2824" s="898"/>
      <c r="K2824" s="899"/>
      <c r="L2824" s="899"/>
      <c r="M2824" s="899"/>
      <c r="N2824" s="899"/>
      <c r="O2824" s="899"/>
      <c r="P2824" s="899"/>
      <c r="Q2824" s="573"/>
      <c r="R2824" s="573"/>
      <c r="S2824" s="573"/>
      <c r="T2824" s="573"/>
      <c r="U2824" s="573"/>
      <c r="V2824" s="573"/>
      <c r="W2824" s="573"/>
      <c r="X2824" s="573"/>
      <c r="Y2824" s="573"/>
      <c r="Z2824" s="573"/>
    </row>
    <row r="2825" spans="1:26" ht="18.75">
      <c r="A2825" s="677"/>
      <c r="B2825" s="677"/>
      <c r="C2825" s="677"/>
      <c r="D2825" s="896"/>
      <c r="E2825" s="677"/>
      <c r="F2825" s="677"/>
      <c r="G2825" s="677"/>
      <c r="H2825" s="897"/>
      <c r="I2825" s="898"/>
      <c r="J2825" s="898"/>
      <c r="K2825" s="899"/>
      <c r="L2825" s="899"/>
      <c r="M2825" s="899"/>
      <c r="N2825" s="899"/>
      <c r="O2825" s="899"/>
      <c r="P2825" s="899"/>
      <c r="Q2825" s="573"/>
      <c r="R2825" s="573"/>
      <c r="S2825" s="573"/>
      <c r="T2825" s="573"/>
      <c r="U2825" s="573"/>
      <c r="V2825" s="573"/>
      <c r="W2825" s="573"/>
      <c r="X2825" s="573"/>
      <c r="Y2825" s="573"/>
      <c r="Z2825" s="573"/>
    </row>
    <row r="2826" spans="1:26" ht="18.75">
      <c r="A2826" s="677"/>
      <c r="B2826" s="677"/>
      <c r="C2826" s="677"/>
      <c r="D2826" s="896"/>
      <c r="E2826" s="677"/>
      <c r="F2826" s="677"/>
      <c r="G2826" s="677"/>
      <c r="H2826" s="897"/>
      <c r="I2826" s="898"/>
      <c r="J2826" s="898"/>
      <c r="K2826" s="899"/>
      <c r="L2826" s="899"/>
      <c r="M2826" s="899"/>
      <c r="N2826" s="899"/>
      <c r="O2826" s="899"/>
      <c r="P2826" s="899"/>
      <c r="Q2826" s="573"/>
      <c r="R2826" s="573"/>
      <c r="S2826" s="573"/>
      <c r="T2826" s="573"/>
      <c r="U2826" s="573"/>
      <c r="V2826" s="573"/>
      <c r="W2826" s="573"/>
      <c r="X2826" s="573"/>
      <c r="Y2826" s="573"/>
      <c r="Z2826" s="573"/>
    </row>
    <row r="2827" spans="1:26" ht="18.75">
      <c r="A2827" s="677"/>
      <c r="B2827" s="677"/>
      <c r="C2827" s="677"/>
      <c r="D2827" s="896"/>
      <c r="E2827" s="677"/>
      <c r="F2827" s="677"/>
      <c r="G2827" s="677"/>
      <c r="H2827" s="897"/>
      <c r="I2827" s="898"/>
      <c r="J2827" s="898"/>
      <c r="K2827" s="899"/>
      <c r="L2827" s="899"/>
      <c r="M2827" s="899"/>
      <c r="N2827" s="899"/>
      <c r="O2827" s="899"/>
      <c r="P2827" s="899"/>
      <c r="Q2827" s="573"/>
      <c r="R2827" s="573"/>
      <c r="S2827" s="573"/>
      <c r="T2827" s="573"/>
      <c r="U2827" s="573"/>
      <c r="V2827" s="573"/>
      <c r="W2827" s="573"/>
      <c r="X2827" s="573"/>
      <c r="Y2827" s="573"/>
      <c r="Z2827" s="573"/>
    </row>
    <row r="2828" spans="1:26" ht="18.75">
      <c r="A2828" s="677"/>
      <c r="B2828" s="677"/>
      <c r="C2828" s="677"/>
      <c r="D2828" s="896"/>
      <c r="E2828" s="677"/>
      <c r="F2828" s="677"/>
      <c r="G2828" s="677"/>
      <c r="H2828" s="897"/>
      <c r="I2828" s="898"/>
      <c r="J2828" s="898"/>
      <c r="K2828" s="899"/>
      <c r="L2828" s="899"/>
      <c r="M2828" s="899"/>
      <c r="N2828" s="899"/>
      <c r="O2828" s="899"/>
      <c r="P2828" s="899"/>
      <c r="Q2828" s="573"/>
      <c r="R2828" s="573"/>
      <c r="S2828" s="573"/>
      <c r="T2828" s="573"/>
      <c r="U2828" s="573"/>
      <c r="V2828" s="573"/>
      <c r="W2828" s="573"/>
      <c r="X2828" s="573"/>
      <c r="Y2828" s="573"/>
      <c r="Z2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3B9C-8806-4D38-BAEE-5F2EE1CE5BB5}">
  <sheetPr codeName="Sheet6"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339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6797774</v>
      </c>
      <c r="M8" s="22">
        <f t="shared" ca="1" si="0"/>
        <v>6359141.8499999996</v>
      </c>
      <c r="N8" s="22">
        <f t="shared" ca="1" si="0"/>
        <v>5355392.93</v>
      </c>
      <c r="O8" s="22">
        <f t="shared" ref="O8:O16" ca="1" si="1">IF(L8&gt;0,N8*100/L8,0)</f>
        <v>78.781567760269752</v>
      </c>
      <c r="P8" s="22">
        <f t="shared" ref="P8:P16" ca="1" si="2">IF(M8&gt;0,N8*100/M8,0)</f>
        <v>84.215654506904897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6797774</v>
      </c>
      <c r="M10" s="30">
        <f t="shared" ca="1" si="3"/>
        <v>6359141.8499999996</v>
      </c>
      <c r="N10" s="30">
        <f t="shared" ca="1" si="3"/>
        <v>5355392.93</v>
      </c>
      <c r="O10" s="30">
        <f t="shared" ca="1" si="1"/>
        <v>78.781567760269752</v>
      </c>
      <c r="P10" s="30">
        <f t="shared" ca="1" si="2"/>
        <v>84.215654506904897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3523674</v>
      </c>
      <c r="M11" s="497">
        <f t="shared" ca="1" si="4"/>
        <v>3551164.94</v>
      </c>
      <c r="N11" s="497">
        <f t="shared" ca="1" si="4"/>
        <v>2547416.02</v>
      </c>
      <c r="O11" s="497">
        <f t="shared" ca="1" si="1"/>
        <v>72.294316103022012</v>
      </c>
      <c r="P11" s="497">
        <f t="shared" ca="1" si="2"/>
        <v>71.734657866947742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3523674</v>
      </c>
      <c r="M13" s="93">
        <f t="shared" ca="1" si="5"/>
        <v>3551164.94</v>
      </c>
      <c r="N13" s="93">
        <f t="shared" ca="1" si="5"/>
        <v>2547416.02</v>
      </c>
      <c r="O13" s="93">
        <f t="shared" ca="1" si="1"/>
        <v>72.294316103022012</v>
      </c>
      <c r="P13" s="93">
        <f t="shared" ca="1" si="2"/>
        <v>71.734657866947742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3274100</v>
      </c>
      <c r="M14" s="497">
        <f t="shared" ca="1" si="6"/>
        <v>2807976.91</v>
      </c>
      <c r="N14" s="497">
        <f t="shared" ca="1" si="6"/>
        <v>2807976.91</v>
      </c>
      <c r="O14" s="497">
        <f t="shared" ca="1" si="1"/>
        <v>85.763321523472101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3274100</v>
      </c>
      <c r="M16" s="52">
        <f t="shared" ca="1" si="7"/>
        <v>2807976.91</v>
      </c>
      <c r="N16" s="52">
        <f t="shared" ca="1" si="7"/>
        <v>2807976.91</v>
      </c>
      <c r="O16" s="52">
        <f t="shared" ca="1" si="1"/>
        <v>85.763321523472101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6154866</v>
      </c>
      <c r="M18" s="22">
        <f t="shared" ca="1" si="8"/>
        <v>5716233.8499999996</v>
      </c>
      <c r="N18" s="22">
        <f t="shared" ca="1" si="8"/>
        <v>5054082.93</v>
      </c>
      <c r="O18" s="22">
        <f t="shared" ref="O18:O26" ca="1" si="9">IF(L18&gt;0,N18*100/L18,0)</f>
        <v>82.115239064506028</v>
      </c>
      <c r="P18" s="22">
        <f t="shared" ref="P18:P26" ca="1" si="10">IF(M18&gt;0,N18*100/M18,0)</f>
        <v>88.416308055696504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6154866</v>
      </c>
      <c r="M20" s="30">
        <f t="shared" ca="1" si="11"/>
        <v>5716233.8499999996</v>
      </c>
      <c r="N20" s="30">
        <f t="shared" ca="1" si="11"/>
        <v>5054082.93</v>
      </c>
      <c r="O20" s="30">
        <f t="shared" ca="1" si="9"/>
        <v>82.115239064506028</v>
      </c>
      <c r="P20" s="30">
        <f t="shared" ca="1" si="10"/>
        <v>88.416308055696504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2880766</v>
      </c>
      <c r="M21" s="497">
        <f t="shared" ca="1" si="12"/>
        <v>2908256.94</v>
      </c>
      <c r="N21" s="497">
        <f t="shared" ca="1" si="12"/>
        <v>2246106.02</v>
      </c>
      <c r="O21" s="497">
        <f t="shared" ca="1" si="9"/>
        <v>77.96905475835247</v>
      </c>
      <c r="P21" s="497">
        <f t="shared" ca="1" si="10"/>
        <v>77.23203507596547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2880766</v>
      </c>
      <c r="M23" s="93">
        <f t="shared" ca="1" si="13"/>
        <v>2908256.94</v>
      </c>
      <c r="N23" s="93">
        <f t="shared" ca="1" si="13"/>
        <v>2246106.02</v>
      </c>
      <c r="O23" s="93">
        <f t="shared" ca="1" si="9"/>
        <v>77.96905475835247</v>
      </c>
      <c r="P23" s="93">
        <f t="shared" ca="1" si="10"/>
        <v>77.23203507596547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3274100</v>
      </c>
      <c r="M24" s="497">
        <f t="shared" ca="1" si="14"/>
        <v>2807976.91</v>
      </c>
      <c r="N24" s="497">
        <f t="shared" ca="1" si="14"/>
        <v>2807976.91</v>
      </c>
      <c r="O24" s="497">
        <f t="shared" ca="1" si="9"/>
        <v>85.763321523472101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3274100</v>
      </c>
      <c r="M26" s="52">
        <f t="shared" ca="1" si="15"/>
        <v>2807976.91</v>
      </c>
      <c r="N26" s="52">
        <f t="shared" ca="1" si="15"/>
        <v>2807976.91</v>
      </c>
      <c r="O26" s="52">
        <f t="shared" ca="1" si="9"/>
        <v>85.763321523472101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642908</v>
      </c>
      <c r="M28" s="22">
        <f t="shared" ca="1" si="16"/>
        <v>642908</v>
      </c>
      <c r="N28" s="22">
        <f t="shared" si="16"/>
        <v>301310</v>
      </c>
      <c r="O28" s="22">
        <f t="shared" ref="O28:O37" ca="1" si="17">IF(L28&gt;0,N28*100/L28,0)</f>
        <v>46.866736764824829</v>
      </c>
      <c r="P28" s="22">
        <f t="shared" ref="P28:P37" ca="1" si="18">IF(M28&gt;0,N28*100/M28,0)</f>
        <v>46.866736764824829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642908</v>
      </c>
      <c r="M30" s="30">
        <f t="shared" ca="1" si="19"/>
        <v>642908</v>
      </c>
      <c r="N30" s="30">
        <f t="shared" si="19"/>
        <v>301310</v>
      </c>
      <c r="O30" s="30">
        <f t="shared" ca="1" si="17"/>
        <v>46.866736764824829</v>
      </c>
      <c r="P30" s="30">
        <f t="shared" ca="1" si="18"/>
        <v>46.866736764824829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642908</v>
      </c>
      <c r="M31" s="497">
        <f t="shared" ca="1" si="20"/>
        <v>642908</v>
      </c>
      <c r="N31" s="497">
        <f t="shared" si="20"/>
        <v>301310</v>
      </c>
      <c r="O31" s="497">
        <f t="shared" ca="1" si="17"/>
        <v>46.866736764824829</v>
      </c>
      <c r="P31" s="497">
        <f t="shared" ca="1" si="18"/>
        <v>46.866736764824829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642908</v>
      </c>
      <c r="M33" s="93">
        <f t="shared" ca="1" si="21"/>
        <v>642908</v>
      </c>
      <c r="N33" s="93">
        <f t="shared" si="21"/>
        <v>301310</v>
      </c>
      <c r="O33" s="93">
        <f t="shared" ca="1" si="17"/>
        <v>46.866736764824829</v>
      </c>
      <c r="P33" s="93">
        <f t="shared" ca="1" si="18"/>
        <v>46.866736764824829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6154866</v>
      </c>
      <c r="M37" s="59">
        <f t="shared" ca="1" si="24"/>
        <v>5716233.8499999996</v>
      </c>
      <c r="N37" s="59">
        <f t="shared" ca="1" si="24"/>
        <v>5054082.9300000006</v>
      </c>
      <c r="O37" s="59">
        <f t="shared" ca="1" si="17"/>
        <v>82.115239064506042</v>
      </c>
      <c r="P37" s="59">
        <f t="shared" ca="1" si="18"/>
        <v>88.416308055696518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309946</v>
      </c>
      <c r="M41" s="85">
        <f t="shared" ca="1" si="25"/>
        <v>323211.94</v>
      </c>
      <c r="N41" s="85">
        <f t="shared" ca="1" si="25"/>
        <v>228378.35</v>
      </c>
      <c r="O41" s="85">
        <f t="shared" ref="O41:O49" ca="1" si="26">IF(L41&gt;0,N41*100/L41,0)</f>
        <v>73.683270634239506</v>
      </c>
      <c r="P41" s="85">
        <f t="shared" ref="P41:P49" ca="1" si="27">IF(M41&gt;0,N41*100/M41,0)</f>
        <v>70.659007832445795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309946</v>
      </c>
      <c r="M43" s="92">
        <f t="shared" ca="1" si="28"/>
        <v>323211.94</v>
      </c>
      <c r="N43" s="92">
        <f t="shared" ca="1" si="28"/>
        <v>228378.35</v>
      </c>
      <c r="O43" s="92">
        <f t="shared" ca="1" si="26"/>
        <v>73.683270634239506</v>
      </c>
      <c r="P43" s="92">
        <f t="shared" ca="1" si="27"/>
        <v>70.659007832445795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309946</v>
      </c>
      <c r="M44" s="497">
        <f t="shared" ca="1" si="29"/>
        <v>323211.94</v>
      </c>
      <c r="N44" s="497">
        <f t="shared" ca="1" si="29"/>
        <v>228378.35</v>
      </c>
      <c r="O44" s="497">
        <f t="shared" ca="1" si="26"/>
        <v>73.683270634239506</v>
      </c>
      <c r="P44" s="497">
        <f t="shared" ca="1" si="27"/>
        <v>70.659007832445795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IFERROR(__xludf.DUMMYFUNCTION("IMPORTRANGE(""https://docs.google.com/spreadsheets/d/1MeEWN-I1oV_STSDYn1IFDPWt_1FKiwhDph83XaGc0o0/edit?usp=sharing"",""งบพรบ!M57"")"),309946)</f>
        <v>309946</v>
      </c>
      <c r="M46" s="93">
        <f ca="1">IFERROR(__xludf.DUMMYFUNCTION("IMPORTRANGE(""https://docs.google.com/spreadsheets/d/1MeEWN-I1oV_STSDYn1IFDPWt_1FKiwhDph83XaGc0o0/edit?usp=sharing"",""งบพรบ!R57"")"),323211.94)</f>
        <v>323211.94</v>
      </c>
      <c r="N46" s="93">
        <f ca="1">IFERROR(__xludf.DUMMYFUNCTION("IMPORTRANGE(""https://docs.google.com/spreadsheets/d/1MeEWN-I1oV_STSDYn1IFDPWt_1FKiwhDph83XaGc0o0/edit?usp=sharing"",""งบพรบ!T57"")"),228378.35)</f>
        <v>228378.35</v>
      </c>
      <c r="O46" s="93">
        <f t="shared" ca="1" si="26"/>
        <v>73.683270634239506</v>
      </c>
      <c r="P46" s="93">
        <f t="shared" ca="1" si="27"/>
        <v>70.659007832445795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IFERROR(__xludf.DUMMYFUNCTION("IMPORTRANGE(""https://docs.google.com/spreadsheets/d/1MeEWN-I1oV_STSDYn1IFDPWt_1FKiwhDph83XaGc0o0/edit?usp=sharing"",""งบพรบ!P57"")"),0)</f>
        <v>0</v>
      </c>
      <c r="M49" s="52">
        <f ca="1">IFERROR(__xludf.DUMMYFUNCTION("IMPORTRANGE(""https://docs.google.com/spreadsheets/d/1MeEWN-I1oV_STSDYn1IFDPWt_1FKiwhDph83XaGc0o0/edit?usp=sharing"",""งบพรบ!S57"")"),0)</f>
        <v>0</v>
      </c>
      <c r="N49" s="52">
        <f ca="1">IFERROR(__xludf.DUMMYFUNCTION("IMPORTRANGE(""https://docs.google.com/spreadsheets/d/1MeEWN-I1oV_STSDYn1IFDPWt_1FKiwhDph83XaGc0o0/edit?usp=sharing"",""งบพรบ!U57"")"),0)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3823100</v>
      </c>
      <c r="M53" s="116">
        <f t="shared" ca="1" si="31"/>
        <v>3373476.91</v>
      </c>
      <c r="N53" s="116">
        <f t="shared" ca="1" si="31"/>
        <v>3297793.95</v>
      </c>
      <c r="O53" s="116">
        <f t="shared" ref="O53:O61" ca="1" si="32">IF(L53&gt;0,N53*100/L53,0)</f>
        <v>86.25968324134864</v>
      </c>
      <c r="P53" s="116">
        <f t="shared" ref="P53:P61" ca="1" si="33">IF(M53&gt;0,N53*100/M53,0)</f>
        <v>97.756529479254681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3823100</v>
      </c>
      <c r="M55" s="123">
        <f t="shared" ca="1" si="34"/>
        <v>3373476.91</v>
      </c>
      <c r="N55" s="123">
        <f t="shared" ca="1" si="34"/>
        <v>3297793.95</v>
      </c>
      <c r="O55" s="123">
        <f t="shared" ca="1" si="32"/>
        <v>86.25968324134864</v>
      </c>
      <c r="P55" s="123">
        <f t="shared" ca="1" si="33"/>
        <v>97.756529479254681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623100</v>
      </c>
      <c r="M56" s="497">
        <f t="shared" ca="1" si="35"/>
        <v>639600</v>
      </c>
      <c r="N56" s="497">
        <f t="shared" ca="1" si="35"/>
        <v>563917.04</v>
      </c>
      <c r="O56" s="497">
        <f t="shared" ca="1" si="32"/>
        <v>90.501852030171719</v>
      </c>
      <c r="P56" s="497">
        <f t="shared" ca="1" si="33"/>
        <v>88.167141963727332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IFERROR(__xludf.DUMMYFUNCTION("IMPORTRANGE(""https://docs.google.com/spreadsheets/d/1MeEWN-I1oV_STSDYn1IFDPWt_1FKiwhDph83XaGc0o0/edit?usp=sharing"",""งบพรบ!W57"")"),623100)</f>
        <v>623100</v>
      </c>
      <c r="M58" s="93">
        <f ca="1">IFERROR(__xludf.DUMMYFUNCTION("IMPORTRANGE(""https://docs.google.com/spreadsheets/d/1MeEWN-I1oV_STSDYn1IFDPWt_1FKiwhDph83XaGc0o0/edit?usp=sharing"",""งบพรบ!AB57"")"),639600)</f>
        <v>639600</v>
      </c>
      <c r="N58" s="93">
        <f ca="1">IFERROR(__xludf.DUMMYFUNCTION("IMPORTRANGE(""https://docs.google.com/spreadsheets/d/1MeEWN-I1oV_STSDYn1IFDPWt_1FKiwhDph83XaGc0o0/edit?usp=sharing"",""งบพรบ!AD57"")"),563917.04)</f>
        <v>563917.04</v>
      </c>
      <c r="O58" s="93">
        <f t="shared" ca="1" si="32"/>
        <v>90.501852030171719</v>
      </c>
      <c r="P58" s="93">
        <f t="shared" ca="1" si="33"/>
        <v>88.167141963727332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3200000</v>
      </c>
      <c r="M59" s="497">
        <f t="shared" ca="1" si="36"/>
        <v>2733876.91</v>
      </c>
      <c r="N59" s="497">
        <f t="shared" ca="1" si="36"/>
        <v>2733876.91</v>
      </c>
      <c r="O59" s="497">
        <f t="shared" ca="1" si="32"/>
        <v>85.433653437499999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IFERROR(__xludf.DUMMYFUNCTION("IMPORTRANGE(""https://docs.google.com/spreadsheets/d/1MeEWN-I1oV_STSDYn1IFDPWt_1FKiwhDph83XaGc0o0/edit?usp=sharing"",""งบพรบ!Z57"")"),3200000)</f>
        <v>3200000</v>
      </c>
      <c r="M61" s="52">
        <f ca="1">IFERROR(__xludf.DUMMYFUNCTION("IMPORTRANGE(""https://docs.google.com/spreadsheets/d/1MeEWN-I1oV_STSDYn1IFDPWt_1FKiwhDph83XaGc0o0/edit?usp=sharing"",""งบพรบ!AC57"")"),2733876.91)</f>
        <v>2733876.91</v>
      </c>
      <c r="N61" s="52">
        <f ca="1">IFERROR(__xludf.DUMMYFUNCTION("IMPORTRANGE(""https://docs.google.com/spreadsheets/d/1MeEWN-I1oV_STSDYn1IFDPWt_1FKiwhDph83XaGc0o0/edit?usp=sharing"",""งบพรบ!AE57"")"),2733876.91)</f>
        <v>2733876.91</v>
      </c>
      <c r="O61" s="52">
        <f t="shared" ca="1" si="32"/>
        <v>85.433653437499999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64</v>
      </c>
      <c r="J65" s="144">
        <f t="shared" si="37"/>
        <v>64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1150600</v>
      </c>
      <c r="M66" s="155">
        <f t="shared" ca="1" si="39"/>
        <v>1161210</v>
      </c>
      <c r="N66" s="155">
        <f t="shared" ca="1" si="39"/>
        <v>850822.63</v>
      </c>
      <c r="O66" s="155">
        <f t="shared" ref="O66:O74" ca="1" si="40">IF(L66&gt;0,N66*100/L66,0)</f>
        <v>73.945996002085863</v>
      </c>
      <c r="P66" s="155">
        <f t="shared" ref="P66:P74" ca="1" si="41">IF(M66&gt;0,N66*100/M66,0)</f>
        <v>73.270349893645417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1150600</v>
      </c>
      <c r="M68" s="93">
        <f t="shared" ca="1" si="42"/>
        <v>1161210</v>
      </c>
      <c r="N68" s="93">
        <f t="shared" ca="1" si="42"/>
        <v>850822.63</v>
      </c>
      <c r="O68" s="93">
        <f t="shared" ca="1" si="40"/>
        <v>73.945996002085863</v>
      </c>
      <c r="P68" s="93">
        <f t="shared" ca="1" si="41"/>
        <v>73.270349893645417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1150600</v>
      </c>
      <c r="M69" s="497">
        <f t="shared" ca="1" si="43"/>
        <v>1161210</v>
      </c>
      <c r="N69" s="497">
        <f t="shared" ca="1" si="43"/>
        <v>850822.63</v>
      </c>
      <c r="O69" s="497">
        <f t="shared" ca="1" si="40"/>
        <v>73.945996002085863</v>
      </c>
      <c r="P69" s="497">
        <f t="shared" ca="1" si="41"/>
        <v>73.270349893645417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IFERROR(__xludf.DUMMYFUNCTION("IMPORTRANGE(""https://docs.google.com/spreadsheets/d/1MeEWN-I1oV_STSDYn1IFDPWt_1FKiwhDph83XaGc0o0/edit?usp=sharing"",""งบพรบ!AG57"")"),1150600)</f>
        <v>1150600</v>
      </c>
      <c r="M71" s="93">
        <f ca="1">IFERROR(__xludf.DUMMYFUNCTION("IMPORTRANGE(""https://docs.google.com/spreadsheets/d/1MeEWN-I1oV_STSDYn1IFDPWt_1FKiwhDph83XaGc0o0/edit?usp=sharing"",""งบพรบ!AL57"")"),1161210)</f>
        <v>1161210</v>
      </c>
      <c r="N71" s="93">
        <f ca="1">IFERROR(__xludf.DUMMYFUNCTION("IMPORTRANGE(""https://docs.google.com/spreadsheets/d/1MeEWN-I1oV_STSDYn1IFDPWt_1FKiwhDph83XaGc0o0/edit?usp=sharing"",""งบพรบ!AN57"")"),850822.63)</f>
        <v>850822.63</v>
      </c>
      <c r="O71" s="93">
        <f t="shared" ca="1" si="40"/>
        <v>73.945996002085863</v>
      </c>
      <c r="P71" s="93">
        <f t="shared" ca="1" si="41"/>
        <v>73.270349893645417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IFERROR(__xludf.DUMMYFUNCTION("IMPORTRANGE(""https://docs.google.com/spreadsheets/d/1MeEWN-I1oV_STSDYn1IFDPWt_1FKiwhDph83XaGc0o0/edit?usp=sharing"",""งบพรบ!AJ57"")"),0)</f>
        <v>0</v>
      </c>
      <c r="M74" s="93">
        <f ca="1">IFERROR(__xludf.DUMMYFUNCTION("IMPORTRANGE(""https://docs.google.com/spreadsheets/d/1MeEWN-I1oV_STSDYn1IFDPWt_1FKiwhDph83XaGc0o0/edit?usp=sharing"",""งบพรบ!AM57"")"),0)</f>
        <v>0</v>
      </c>
      <c r="N74" s="93">
        <f ca="1">IFERROR(__xludf.DUMMYFUNCTION("IMPORTRANGE(""https://docs.google.com/spreadsheets/d/1MeEWN-I1oV_STSDYn1IFDPWt_1FKiwhDph83XaGc0o0/edit?usp=sharing"",""งบพรบ!AO57"")"),0)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64</v>
      </c>
      <c r="J77" s="270">
        <f t="shared" si="45"/>
        <v>64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IFERROR(__xludf.DUMMYFUNCTION("IMPORTRANGE(""https://docs.google.com/spreadsheets/d/1QqKyyYR6Q21VydFLVH3TRQUabQu_ym0Zz7PgGX0-kHA/edit?usp=sharing"",""แผน!I57"")"),34)</f>
        <v>34</v>
      </c>
      <c r="J79" s="215">
        <v>34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IFERROR(__xludf.DUMMYFUNCTION("IMPORTRANGE(""https://docs.google.com/spreadsheets/d/1QqKyyYR6Q21VydFLVH3TRQUabQu_ym0Zz7PgGX0-kHA/edit?usp=sharing"",""แผน!E57"")"),30)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136220</v>
      </c>
      <c r="M88" s="155">
        <f t="shared" ca="1" si="49"/>
        <v>136220</v>
      </c>
      <c r="N88" s="155">
        <f t="shared" ca="1" si="49"/>
        <v>94510</v>
      </c>
      <c r="O88" s="155">
        <f t="shared" ref="O88:O96" ca="1" si="50">IF(L88&gt;0,N88*100/L88,0)</f>
        <v>69.38041403611804</v>
      </c>
      <c r="P88" s="155">
        <f t="shared" ref="P88:P96" ca="1" si="51">IF(M88&gt;0,N88*100/M88,0)</f>
        <v>69.38041403611804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136220</v>
      </c>
      <c r="M90" s="93">
        <f t="shared" ca="1" si="52"/>
        <v>136220</v>
      </c>
      <c r="N90" s="93">
        <f t="shared" ca="1" si="52"/>
        <v>94510</v>
      </c>
      <c r="O90" s="93">
        <f t="shared" ca="1" si="50"/>
        <v>69.38041403611804</v>
      </c>
      <c r="P90" s="93">
        <f t="shared" ca="1" si="51"/>
        <v>69.38041403611804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136220</v>
      </c>
      <c r="M91" s="497">
        <f t="shared" ca="1" si="53"/>
        <v>136220</v>
      </c>
      <c r="N91" s="497">
        <f t="shared" ca="1" si="53"/>
        <v>94510</v>
      </c>
      <c r="O91" s="497">
        <f t="shared" ca="1" si="50"/>
        <v>69.38041403611804</v>
      </c>
      <c r="P91" s="497">
        <f t="shared" ca="1" si="51"/>
        <v>69.38041403611804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IFERROR(__xludf.DUMMYFUNCTION("IMPORTRANGE(""https://docs.google.com/spreadsheets/d/1MeEWN-I1oV_STSDYn1IFDPWt_1FKiwhDph83XaGc0o0/edit?usp=sharing"",""งบพรบ!AQ57"")"),136220)</f>
        <v>136220</v>
      </c>
      <c r="M93" s="93">
        <f ca="1">IFERROR(__xludf.DUMMYFUNCTION("IMPORTRANGE(""https://docs.google.com/spreadsheets/d/1MeEWN-I1oV_STSDYn1IFDPWt_1FKiwhDph83XaGc0o0/edit?usp=sharing"",""งบพรบ!AV57"")"),136220)</f>
        <v>136220</v>
      </c>
      <c r="N93" s="93">
        <f ca="1">IFERROR(__xludf.DUMMYFUNCTION("IMPORTRANGE(""https://docs.google.com/spreadsheets/d/1MeEWN-I1oV_STSDYn1IFDPWt_1FKiwhDph83XaGc0o0/edit?usp=sharing"",""งบพรบ!AX57"")"),94510)</f>
        <v>94510</v>
      </c>
      <c r="O93" s="93">
        <f t="shared" ca="1" si="50"/>
        <v>69.38041403611804</v>
      </c>
      <c r="P93" s="93">
        <f t="shared" ca="1" si="51"/>
        <v>69.38041403611804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IFERROR(__xludf.DUMMYFUNCTION("IMPORTRANGE(""https://docs.google.com/spreadsheets/d/1MeEWN-I1oV_STSDYn1IFDPWt_1FKiwhDph83XaGc0o0/edit?usp=sharing"",""งบพรบ!AT57"")"),0)</f>
        <v>0</v>
      </c>
      <c r="M96" s="93">
        <f ca="1">IFERROR(__xludf.DUMMYFUNCTION("IMPORTRANGE(""https://docs.google.com/spreadsheets/d/1MeEWN-I1oV_STSDYn1IFDPWt_1FKiwhDph83XaGc0o0/edit?usp=sharing"",""งบพรบ!AW57"")"),0)</f>
        <v>0</v>
      </c>
      <c r="N96" s="93">
        <f ca="1">IFERROR(__xludf.DUMMYFUNCTION("IMPORTRANGE(""https://docs.google.com/spreadsheets/d/1MeEWN-I1oV_STSDYn1IFDPWt_1FKiwhDph83XaGc0o0/edit?usp=sharing"",""งบพรบ!AY57"")"),0)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IFERROR(__xludf.DUMMYFUNCTION("IMPORTRANGE(""https://docs.google.com/spreadsheets/d/1QqKyyYR6Q21VydFLVH3TRQUabQu_ym0Zz7PgGX0-kHA/edit?usp=sharing"",""แผน!K57"")"),90)</f>
        <v>90</v>
      </c>
      <c r="J98" s="270">
        <f>J102</f>
        <v>90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IFERROR(__xludf.DUMMYFUNCTION("IMPORTRANGE(""https://docs.google.com/spreadsheets/d/1QqKyyYR6Q21VydFLVH3TRQUabQu_ym0Zz7PgGX0-kHA/edit?usp=sharing"",""แผน!L57"")"),30)</f>
        <v>30</v>
      </c>
      <c r="J99" s="270">
        <f>J104</f>
        <v>30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IFERROR(__xludf.DUMMYFUNCTION("IMPORTRANGE(""https://docs.google.com/spreadsheets/d/1QqKyyYR6Q21VydFLVH3TRQUabQu_ym0Zz7PgGX0-kHA/edit?usp=sharing"",""แผน!M57"")"),2)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IFERROR(__xludf.DUMMYFUNCTION("IMPORTRANGE(""https://docs.google.com/spreadsheets/d/1QqKyyYR6Q21VydFLVH3TRQUabQu_ym0Zz7PgGX0-kHA/edit?usp=sharing"",""แผน!N57"")"),90)</f>
        <v>90</v>
      </c>
      <c r="J102" s="215">
        <v>90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IFERROR(__xludf.DUMMYFUNCTION("IMPORTRANGE(""https://docs.google.com/spreadsheets/d/1QqKyyYR6Q21VydFLVH3TRQUabQu_ym0Zz7PgGX0-kHA/edit?usp=sharing"",""แผน!O57"")"),30)</f>
        <v>30</v>
      </c>
      <c r="J103" s="215">
        <v>30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IFERROR(__xludf.DUMMYFUNCTION("IMPORTRANGE(""https://docs.google.com/spreadsheets/d/1QqKyyYR6Q21VydFLVH3TRQUabQu_ym0Zz7PgGX0-kHA/edit?usp=sharing"",""แผน!O57"")"),30)</f>
        <v>30</v>
      </c>
      <c r="J104" s="215">
        <v>30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IFERROR(__xludf.DUMMYFUNCTION("IMPORTRANGE(""https://docs.google.com/spreadsheets/d/1QqKyyYR6Q21VydFLVH3TRQUabQu_ym0Zz7PgGX0-kHA/edit?usp=sharing"",""แผน!P57"")"),1)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IFERROR(__xludf.DUMMYFUNCTION("IMPORTRANGE(""https://docs.google.com/spreadsheets/d/1QqKyyYR6Q21VydFLVH3TRQUabQu_ym0Zz7PgGX0-kHA/edit?usp=sharing"",""แผน!P57"")"),1)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IFERROR(__xludf.DUMMYFUNCTION("IMPORTRANGE(""https://docs.google.com/spreadsheets/d/1QqKyyYR6Q21VydFLVH3TRQUabQu_ym0Zz7PgGX0-kHA/edit?usp=sharing"",""แผน!Q57"")"),1)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IFERROR(__xludf.DUMMYFUNCTION("IMPORTRANGE(""https://docs.google.com/spreadsheets/d/1QqKyyYR6Q21VydFLVH3TRQUabQu_ym0Zz7PgGX0-kHA/edit?usp=sharing"",""แผน!Q57"")"),1)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IFERROR(__xludf.DUMMYFUNCTION("IMPORTRANGE(""https://docs.google.com/spreadsheets/d/1QqKyyYR6Q21VydFLVH3TRQUabQu_ym0Zz7PgGX0-kHA/edit?usp=sharing"",""แผน!R57"")"),30)</f>
        <v>30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IFERROR(__xludf.DUMMYFUNCTION("IMPORTRANGE(""https://docs.google.com/spreadsheets/d/1QqKyyYR6Q21VydFLVH3TRQUabQu_ym0Zz7PgGX0-kHA/edit?usp=sharing"",""แผน!R57"")"),30)</f>
        <v>30</v>
      </c>
      <c r="J113" s="215">
        <v>30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IFERROR(__xludf.DUMMYFUNCTION("IMPORTRANGE(""https://docs.google.com/spreadsheets/d/1QqKyyYR6Q21VydFLVH3TRQUabQu_ym0Zz7PgGX0-kHA/edit?usp=sharing"",""แผน!R57"")"),30)</f>
        <v>30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IFERROR(__xludf.DUMMYFUNCTION("IMPORTRANGE(""https://docs.google.com/spreadsheets/d/1QqKyyYR6Q21VydFLVH3TRQUabQu_ym0Zz7PgGX0-kHA/edit?usp=sharing"",""แผน!S57"")"),1)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IFERROR(__xludf.DUMMYFUNCTION("IMPORTRANGE(""https://docs.google.com/spreadsheets/d/1MeEWN-I1oV_STSDYn1IFDPWt_1FKiwhDph83XaGc0o0/edit?usp=sharing"",""งบพรบ!BA57"")"),0)</f>
        <v>0</v>
      </c>
      <c r="M124" s="93">
        <f ca="1">IFERROR(__xludf.DUMMYFUNCTION("IMPORTRANGE(""https://docs.google.com/spreadsheets/d/1MeEWN-I1oV_STSDYn1IFDPWt_1FKiwhDph83XaGc0o0/edit?usp=sharing"",""งบพรบ!BF57"")"),0)</f>
        <v>0</v>
      </c>
      <c r="N124" s="93">
        <f ca="1">IFERROR(__xludf.DUMMYFUNCTION("IMPORTRANGE(""https://docs.google.com/spreadsheets/d/1MeEWN-I1oV_STSDYn1IFDPWt_1FKiwhDph83XaGc0o0/edit?usp=sharing"",""งบพรบ!BH57"")"),0)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IFERROR(__xludf.DUMMYFUNCTION("IMPORTRANGE(""https://docs.google.com/spreadsheets/d/1MeEWN-I1oV_STSDYn1IFDPWt_1FKiwhDph83XaGc0o0/edit?usp=sharing"",""งบพรบ!BD57"")"),0)</f>
        <v>0</v>
      </c>
      <c r="M127" s="93">
        <f ca="1">IFERROR(__xludf.DUMMYFUNCTION("IMPORTRANGE(""https://docs.google.com/spreadsheets/d/1MeEWN-I1oV_STSDYn1IFDPWt_1FKiwhDph83XaGc0o0/edit?usp=sharing"",""งบพรบ!BG57"")"),0)</f>
        <v>0</v>
      </c>
      <c r="N127" s="93">
        <f ca="1">IFERROR(__xludf.DUMMYFUNCTION("IMPORTRANGE(""https://docs.google.com/spreadsheets/d/1MeEWN-I1oV_STSDYn1IFDPWt_1FKiwhDph83XaGc0o0/edit?usp=sharing"",""งบพรบ!BI57"")"),0)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IFERROR(__xludf.DUMMYFUNCTION("IMPORTRANGE(""https://docs.google.com/spreadsheets/d/1MeEWN-I1oV_STSDYn1IFDPWt_1FKiwhDph83XaGc0o0/edit?usp=sharing"",""งบพรบ!BK57"")"),0)</f>
        <v>0</v>
      </c>
      <c r="M137" s="93">
        <f ca="1">IFERROR(__xludf.DUMMYFUNCTION("IMPORTRANGE(""https://docs.google.com/spreadsheets/d/1MeEWN-I1oV_STSDYn1IFDPWt_1FKiwhDph83XaGc0o0/edit?usp=sharing"",""งบพรบ!BP57"")"),0)</f>
        <v>0</v>
      </c>
      <c r="N137" s="93">
        <f ca="1">IFERROR(__xludf.DUMMYFUNCTION("IMPORTRANGE(""https://docs.google.com/spreadsheets/d/1MeEWN-I1oV_STSDYn1IFDPWt_1FKiwhDph83XaGc0o0/edit?usp=sharing"",""งบพรบ!BR57"")"),0)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IFERROR(__xludf.DUMMYFUNCTION("IMPORTRANGE(""https://docs.google.com/spreadsheets/d/1MeEWN-I1oV_STSDYn1IFDPWt_1FKiwhDph83XaGc0o0/edit?usp=sharing"",""งบพรบ!BN57"")"),0)</f>
        <v>0</v>
      </c>
      <c r="M140" s="93">
        <f ca="1">IFERROR(__xludf.DUMMYFUNCTION("IMPORTRANGE(""https://docs.google.com/spreadsheets/d/1MeEWN-I1oV_STSDYn1IFDPWt_1FKiwhDph83XaGc0o0/edit?usp=sharing"",""งบพรบ!BQ57"")"),0)</f>
        <v>0</v>
      </c>
      <c r="N140" s="93">
        <f ca="1">IFERROR(__xludf.DUMMYFUNCTION("IMPORTRANGE(""https://docs.google.com/spreadsheets/d/1MeEWN-I1oV_STSDYn1IFDPWt_1FKiwhDph83XaGc0o0/edit?usp=sharing"",""งบพรบ!BS57"")"),0)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5000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5000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5000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IFERROR(__xludf.DUMMYFUNCTION("IMPORTRANGE(""https://docs.google.com/spreadsheets/d/1MeEWN-I1oV_STSDYn1IFDPWt_1FKiwhDph83XaGc0o0/edit?usp=sharing"",""งบพรบ!BU57"")"),5000)</f>
        <v>5000</v>
      </c>
      <c r="M154" s="93">
        <f ca="1">IFERROR(__xludf.DUMMYFUNCTION("IMPORTRANGE(""https://docs.google.com/spreadsheets/d/1MeEWN-I1oV_STSDYn1IFDPWt_1FKiwhDph83XaGc0o0/edit?usp=sharing"",""งบพรบ!BZ57"")"),5000)</f>
        <v>5000</v>
      </c>
      <c r="N154" s="93">
        <f ca="1">IFERROR(__xludf.DUMMYFUNCTION("IMPORTRANGE(""https://docs.google.com/spreadsheets/d/1MeEWN-I1oV_STSDYn1IFDPWt_1FKiwhDph83XaGc0o0/edit?usp=sharing"",""งบพรบ!CB57"")"),5000)</f>
        <v>5000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IFERROR(__xludf.DUMMYFUNCTION("IMPORTRANGE(""https://docs.google.com/spreadsheets/d/1MeEWN-I1oV_STSDYn1IFDPWt_1FKiwhDph83XaGc0o0/edit?usp=sharing"",""งบพรบ!BX57"")"),0)</f>
        <v>0</v>
      </c>
      <c r="M157" s="93">
        <f ca="1">IFERROR(__xludf.DUMMYFUNCTION("IMPORTRANGE(""https://docs.google.com/spreadsheets/d/1MeEWN-I1oV_STSDYn1IFDPWt_1FKiwhDph83XaGc0o0/edit?usp=sharing"",""งบพรบ!CA57"")"),0)</f>
        <v>0</v>
      </c>
      <c r="N157" s="93">
        <f ca="1">IFERROR(__xludf.DUMMYFUNCTION("IMPORTRANGE(""https://docs.google.com/spreadsheets/d/1MeEWN-I1oV_STSDYn1IFDPWt_1FKiwhDph83XaGc0o0/edit?usp=sharing"",""งบพรบ!CC57"")"),0)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IFERROR(__xludf.DUMMYFUNCTION("IMPORTRANGE(""https://docs.google.com/spreadsheets/d/1QqKyyYR6Q21VydFLVH3TRQUabQu_ym0Zz7PgGX0-kHA/edit?usp=sharing"",""แผน!X57"")"),10)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IFERROR(__xludf.DUMMYFUNCTION("IMPORTRANGE(""https://docs.google.com/spreadsheets/d/1MeEWN-I1oV_STSDYn1IFDPWt_1FKiwhDph83XaGc0o0/edit?usp=sharing"",""งบพรบ!CE57"")"),21050)</f>
        <v>21050</v>
      </c>
      <c r="M170" s="93">
        <f ca="1">IFERROR(__xludf.DUMMYFUNCTION("IMPORTRANGE(""https://docs.google.com/spreadsheets/d/1MeEWN-I1oV_STSDYn1IFDPWt_1FKiwhDph83XaGc0o0/edit?usp=sharing"",""งบพรบ!CJ57"")"),21050)</f>
        <v>21050</v>
      </c>
      <c r="N170" s="93">
        <f ca="1">IFERROR(__xludf.DUMMYFUNCTION("IMPORTRANGE(""https://docs.google.com/spreadsheets/d/1MeEWN-I1oV_STSDYn1IFDPWt_1FKiwhDph83XaGc0o0/edit?usp=sharing"",""งบพรบ!CL57"")"),21050)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IFERROR(__xludf.DUMMYFUNCTION("IMPORTRANGE(""https://docs.google.com/spreadsheets/d/1MeEWN-I1oV_STSDYn1IFDPWt_1FKiwhDph83XaGc0o0/edit?usp=sharing"",""งบพรบ!CH57"")"),0)</f>
        <v>0</v>
      </c>
      <c r="M173" s="93">
        <f ca="1">IFERROR(__xludf.DUMMYFUNCTION("IMPORTRANGE(""https://docs.google.com/spreadsheets/d/1MeEWN-I1oV_STSDYn1IFDPWt_1FKiwhDph83XaGc0o0/edit?usp=sharing"",""งบพรบ!CK57"")"),0)</f>
        <v>0</v>
      </c>
      <c r="N173" s="93">
        <f ca="1">IFERROR(__xludf.DUMMYFUNCTION("IMPORTRANGE(""https://docs.google.com/spreadsheets/d/1MeEWN-I1oV_STSDYn1IFDPWt_1FKiwhDph83XaGc0o0/edit?usp=sharing"",""งบพรบ!CM57"")"),0)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36100</v>
      </c>
      <c r="M181" s="155">
        <f t="shared" ca="1" si="92"/>
        <v>42820</v>
      </c>
      <c r="N181" s="155">
        <f t="shared" ca="1" si="92"/>
        <v>25160</v>
      </c>
      <c r="O181" s="155">
        <f t="shared" ref="O181:O189" ca="1" si="93">IF(L181&gt;0,N181*100/L181,0)</f>
        <v>69.695290858725755</v>
      </c>
      <c r="P181" s="155">
        <f t="shared" ref="P181:P189" ca="1" si="94">IF(M181&gt;0,N181*100/M181,0)</f>
        <v>58.757589911256424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36100</v>
      </c>
      <c r="M183" s="93">
        <f t="shared" ca="1" si="95"/>
        <v>42820</v>
      </c>
      <c r="N183" s="93">
        <f t="shared" ca="1" si="95"/>
        <v>25160</v>
      </c>
      <c r="O183" s="93">
        <f t="shared" ca="1" si="93"/>
        <v>69.695290858725755</v>
      </c>
      <c r="P183" s="93">
        <f t="shared" ca="1" si="94"/>
        <v>58.757589911256424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36100</v>
      </c>
      <c r="M184" s="497">
        <f t="shared" ca="1" si="96"/>
        <v>42820</v>
      </c>
      <c r="N184" s="497">
        <f t="shared" ca="1" si="96"/>
        <v>25160</v>
      </c>
      <c r="O184" s="497">
        <f t="shared" ca="1" si="93"/>
        <v>69.695290858725755</v>
      </c>
      <c r="P184" s="497">
        <f t="shared" ca="1" si="94"/>
        <v>58.757589911256424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IFERROR(__xludf.DUMMYFUNCTION("IMPORTRANGE(""https://docs.google.com/spreadsheets/d/1MeEWN-I1oV_STSDYn1IFDPWt_1FKiwhDph83XaGc0o0/edit?usp=sharing"",""งบพรบ!CO57"")"),36100)</f>
        <v>36100</v>
      </c>
      <c r="M186" s="93">
        <f ca="1">IFERROR(__xludf.DUMMYFUNCTION("IMPORTRANGE(""https://docs.google.com/spreadsheets/d/1MeEWN-I1oV_STSDYn1IFDPWt_1FKiwhDph83XaGc0o0/edit?usp=sharing"",""งบพรบ!CT57"")"),42820)</f>
        <v>42820</v>
      </c>
      <c r="N186" s="93">
        <f ca="1">IFERROR(__xludf.DUMMYFUNCTION("IMPORTRANGE(""https://docs.google.com/spreadsheets/d/1MeEWN-I1oV_STSDYn1IFDPWt_1FKiwhDph83XaGc0o0/edit?usp=sharing"",""งบพรบ!CV57"")"),25160)</f>
        <v>25160</v>
      </c>
      <c r="O186" s="93">
        <f t="shared" ca="1" si="93"/>
        <v>69.695290858725755</v>
      </c>
      <c r="P186" s="93">
        <f t="shared" ca="1" si="94"/>
        <v>58.757589911256424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IFERROR(__xludf.DUMMYFUNCTION("IMPORTRANGE(""https://docs.google.com/spreadsheets/d/1MeEWN-I1oV_STSDYn1IFDPWt_1FKiwhDph83XaGc0o0/edit?usp=sharing"",""งบพรบ!CR57"")"),0)</f>
        <v>0</v>
      </c>
      <c r="M189" s="93">
        <f ca="1">IFERROR(__xludf.DUMMYFUNCTION("IMPORTRANGE(""https://docs.google.com/spreadsheets/d/1MeEWN-I1oV_STSDYn1IFDPWt_1FKiwhDph83XaGc0o0/edit?usp=sharing"",""งบพรบ!CU57"")"),0)</f>
        <v>0</v>
      </c>
      <c r="N189" s="93">
        <f ca="1">IFERROR(__xludf.DUMMYFUNCTION("IMPORTRANGE(""https://docs.google.com/spreadsheets/d/1MeEWN-I1oV_STSDYn1IFDPWt_1FKiwhDph83XaGc0o0/edit?usp=sharing"",""งบพรบ!CW57"")"),0)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IFERROR(__xludf.DUMMYFUNCTION("IMPORTRANGE(""https://docs.google.com/spreadsheets/d/1QqKyyYR6Q21VydFLVH3TRQUabQu_ym0Zz7PgGX0-kHA/edit?usp=sharing"",""แผน!Z57"")"),6000)</f>
        <v>6000</v>
      </c>
      <c r="M191" s="155"/>
      <c r="N191" s="276">
        <v>1970</v>
      </c>
      <c r="O191" s="155">
        <f ca="1">IF(L191&gt;0,N191*100/L191,0)</f>
        <v>32.833333333333336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346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346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8660</v>
      </c>
      <c r="O198" s="155">
        <f ca="1">IF(L198&gt;0,N198*100/L198,0)</f>
        <v>66.615384615384613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IFERROR(__xludf.DUMMYFUNCTION("IMPORTRANGE(""https://docs.google.com/spreadsheets/d/1QqKyyYR6Q21VydFLVH3TRQUabQu_ym0Zz7PgGX0-kHA/edit?usp=sharing"",""แผน!AE57"")"),1000)</f>
        <v>1000</v>
      </c>
      <c r="M199" s="497"/>
      <c r="N199" s="284">
        <v>660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IFERROR(__xludf.DUMMYFUNCTION("IMPORTRANGE(""https://docs.google.com/spreadsheets/d/1QqKyyYR6Q21VydFLVH3TRQUabQu_ym0Zz7PgGX0-kHA/edit?usp=sharing"",""แผน!AF57"")"),8000)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IFERROR(__xludf.DUMMYFUNCTION("IMPORTRANGE(""https://docs.google.com/spreadsheets/d/1QqKyyYR6Q21VydFLVH3TRQUabQu_ym0Zz7PgGX0-kHA/edit?usp=sharing"",""แผน!AG57"")"),4000)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IFERROR(__xludf.DUMMYFUNCTION("IMPORTRANGE(""https://docs.google.com/spreadsheets/d/1QqKyyYR6Q21VydFLVH3TRQUabQu_ym0Zz7PgGX0-kHA/edit?usp=sharing"",""แผน!AI57"")"),1)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17100</v>
      </c>
      <c r="M217" s="155"/>
      <c r="N217" s="155">
        <f>N218+N219+N220</f>
        <v>12000</v>
      </c>
      <c r="O217" s="155">
        <f ca="1">IF(L217&gt;0,N217*100/L217,0)</f>
        <v>70.175438596491233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IFERROR(__xludf.DUMMYFUNCTION("IMPORTRANGE(""https://docs.google.com/spreadsheets/d/1QqKyyYR6Q21VydFLVH3TRQUabQu_ym0Zz7PgGX0-kHA/edit?usp=sharing"",""แผน!AP57"")"),3000)</f>
        <v>3000</v>
      </c>
      <c r="M218" s="497"/>
      <c r="N218" s="284">
        <v>2000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IFERROR(__xludf.DUMMYFUNCTION("IMPORTRANGE(""https://docs.google.com/spreadsheets/d/1QqKyyYR6Q21VydFLVH3TRQUabQu_ym0Zz7PgGX0-kHA/edit?usp=sharing"",""แผน!AQ57"")"),4100)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IFERROR(__xludf.DUMMYFUNCTION("IMPORTRANGE(""https://docs.google.com/spreadsheets/d/1QqKyyYR6Q21VydFLVH3TRQUabQu_ym0Zz7PgGX0-kHA/edit?usp=sharing"",""แผน!AR57"")"),10000)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IFERROR(__xludf.DUMMYFUNCTION("IMPORTRANGE(""https://docs.google.com/spreadsheets/d/1QqKyyYR6Q21VydFLVH3TRQUabQu_ym0Zz7PgGX0-kHA/edit?usp=sharing"",""แผน!AT57"")"),12800)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IFERROR(__xludf.DUMMYFUNCTION("IMPORTRANGE(""https://docs.google.com/spreadsheets/d/1QqKyyYR6Q21VydFLVH3TRQUabQu_ym0Zz7PgGX0-kHA/edit?usp=sharing"",""แผน!AT57"")"),12800)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IFERROR(__xludf.DUMMYFUNCTION("IMPORTRANGE(""https://docs.google.com/spreadsheets/d/1QqKyyYR6Q21VydFLVH3TRQUabQu_ym0Zz7PgGX0-kHA/edit?usp=sharing"",""แผน!AS57"")"),10)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IFERROR(__xludf.DUMMYFUNCTION("IMPORTRANGE(""https://docs.google.com/spreadsheets/d/1QqKyyYR6Q21VydFLVH3TRQUabQu_ym0Zz7PgGX0-kHA/edit?usp=sharing"",""แผน!AV57"")"),0)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IFERROR(__xludf.DUMMYFUNCTION("IMPORTRANGE(""https://docs.google.com/spreadsheets/d/1QqKyyYR6Q21VydFLVH3TRQUabQu_ym0Zz7PgGX0-kHA/edit?usp=sharing"",""แผน!AW57"")"),0)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IFERROR(__xludf.DUMMYFUNCTION("IMPORTRANGE(""https://docs.google.com/spreadsheets/d/1QqKyyYR6Q21VydFLVH3TRQUabQu_ym0Zz7PgGX0-kHA/edit?usp=sharing"",""แผน!AX57"")"),0)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IFERROR(__xludf.DUMMYFUNCTION("IMPORTRANGE(""https://docs.google.com/spreadsheets/d/1QqKyyYR6Q21VydFLVH3TRQUabQu_ym0Zz7PgGX0-kHA/edit?usp=sharing"",""แผน!AY57"")"),0)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IFERROR(__xludf.DUMMYFUNCTION("IMPORTRANGE(""https://docs.google.com/spreadsheets/d/1QqKyyYR6Q21VydFLVH3TRQUabQu_ym0Zz7PgGX0-kHA/edit?usp=sharing"",""แผน!AZ57"")"),0)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IFERROR(__xludf.DUMMYFUNCTION("IMPORTRANGE(""https://docs.google.com/spreadsheets/d/1QqKyyYR6Q21VydFLVH3TRQUabQu_ym0Zz7PgGX0-kHA/edit?usp=sharing"",""แผน!BA57"")"),0)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IFERROR(__xludf.DUMMYFUNCTION("IMPORTRANGE(""https://docs.google.com/spreadsheets/d/1QqKyyYR6Q21VydFLVH3TRQUabQu_ym0Zz7PgGX0-kHA/edit?usp=sharing"",""แผน!BB57"")"),0)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IFERROR(__xludf.DUMMYFUNCTION("IMPORTRANGE(""https://docs.google.com/spreadsheets/d/1QqKyyYR6Q21VydFLVH3TRQUabQu_ym0Zz7PgGX0-kHA/edit?usp=sharing"",""แผน!BC57"")"),0)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21540</v>
      </c>
      <c r="O261" s="155">
        <f t="shared" ref="O261:O269" ca="1" si="117">IF(L261&gt;0,N261*100/L261,0)</f>
        <v>80.074349442379187</v>
      </c>
      <c r="P261" s="155">
        <f t="shared" ref="P261:P269" ca="1" si="118">IF(M261&gt;0,N261*100/M261,0)</f>
        <v>80.074349442379187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21540</v>
      </c>
      <c r="O263" s="93">
        <f t="shared" ca="1" si="117"/>
        <v>80.074349442379187</v>
      </c>
      <c r="P263" s="93">
        <f t="shared" ca="1" si="118"/>
        <v>80.074349442379187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21540</v>
      </c>
      <c r="O264" s="497">
        <f t="shared" ca="1" si="117"/>
        <v>80.074349442379187</v>
      </c>
      <c r="P264" s="497">
        <f t="shared" ca="1" si="118"/>
        <v>80.074349442379187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IFERROR(__xludf.DUMMYFUNCTION("IMPORTRANGE(""https://docs.google.com/spreadsheets/d/1MeEWN-I1oV_STSDYn1IFDPWt_1FKiwhDph83XaGc0o0/edit?usp=sharing"",""งบพรบ!CY57"")"),26900)</f>
        <v>26900</v>
      </c>
      <c r="M266" s="93">
        <f ca="1">IFERROR(__xludf.DUMMYFUNCTION("IMPORTRANGE(""https://docs.google.com/spreadsheets/d/1MeEWN-I1oV_STSDYn1IFDPWt_1FKiwhDph83XaGc0o0/edit?usp=sharing"",""งบพรบ!DD57"")"),26900)</f>
        <v>26900</v>
      </c>
      <c r="N266" s="93">
        <f ca="1">IFERROR(__xludf.DUMMYFUNCTION("IMPORTRANGE(""https://docs.google.com/spreadsheets/d/1MeEWN-I1oV_STSDYn1IFDPWt_1FKiwhDph83XaGc0o0/edit?usp=sharing"",""งบพรบ!DF57"")"),21540)</f>
        <v>21540</v>
      </c>
      <c r="O266" s="93">
        <f t="shared" ca="1" si="117"/>
        <v>80.074349442379187</v>
      </c>
      <c r="P266" s="93">
        <f t="shared" ca="1" si="118"/>
        <v>80.074349442379187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IFERROR(__xludf.DUMMYFUNCTION("IMPORTRANGE(""https://docs.google.com/spreadsheets/d/1MeEWN-I1oV_STSDYn1IFDPWt_1FKiwhDph83XaGc0o0/edit?usp=sharing"",""งบพรบ!DB57"")"),0)</f>
        <v>0</v>
      </c>
      <c r="M269" s="93">
        <f ca="1">IFERROR(__xludf.DUMMYFUNCTION("IMPORTRANGE(""https://docs.google.com/spreadsheets/d/1MeEWN-I1oV_STSDYn1IFDPWt_1FKiwhDph83XaGc0o0/edit?usp=sharing"",""งบพรบ!DE57"")"),0)</f>
        <v>0</v>
      </c>
      <c r="N269" s="93">
        <f ca="1">IFERROR(__xludf.DUMMYFUNCTION("IMPORTRANGE(""https://docs.google.com/spreadsheets/d/1MeEWN-I1oV_STSDYn1IFDPWt_1FKiwhDph83XaGc0o0/edit?usp=sharing"",""งบพรบ!DG57"")"),0)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IFERROR(__xludf.DUMMYFUNCTION("IMPORTRANGE(""https://docs.google.com/spreadsheets/d/1MeEWN-I1oV_STSDYn1IFDPWt_1FKiwhDph83XaGc0o0/edit?usp=sharing"",""งบพรบ!DI57"")"),0)</f>
        <v>0</v>
      </c>
      <c r="M282" s="93">
        <f ca="1">IFERROR(__xludf.DUMMYFUNCTION("IMPORTRANGE(""https://docs.google.com/spreadsheets/d/1MeEWN-I1oV_STSDYn1IFDPWt_1FKiwhDph83XaGc0o0/edit?usp=sharing"",""งบพรบ!DN57"")"),0)</f>
        <v>0</v>
      </c>
      <c r="N282" s="93">
        <f ca="1">IFERROR(__xludf.DUMMYFUNCTION("IMPORTRANGE(""https://docs.google.com/spreadsheets/d/1MeEWN-I1oV_STSDYn1IFDPWt_1FKiwhDph83XaGc0o0/edit?usp=sharing"",""งบพรบ!DP57"")"),0)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IFERROR(__xludf.DUMMYFUNCTION("IMPORTRANGE(""https://docs.google.com/spreadsheets/d/1MeEWN-I1oV_STSDYn1IFDPWt_1FKiwhDph83XaGc0o0/edit?usp=sharing"",""งบพรบ!DL57"")"),0)</f>
        <v>0</v>
      </c>
      <c r="M285" s="93">
        <f ca="1">IFERROR(__xludf.DUMMYFUNCTION("IMPORTRANGE(""https://docs.google.com/spreadsheets/d/1MeEWN-I1oV_STSDYn1IFDPWt_1FKiwhDph83XaGc0o0/edit?usp=sharing"",""งบพรบ!DO57"")"),0)</f>
        <v>0</v>
      </c>
      <c r="N285" s="93">
        <f ca="1">IFERROR(__xludf.DUMMYFUNCTION("IMPORTRANGE(""https://docs.google.com/spreadsheets/d/1MeEWN-I1oV_STSDYn1IFDPWt_1FKiwhDph83XaGc0o0/edit?usp=sharing"",""งบพรบ!DQ57"")"),0)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IFERROR(__xludf.DUMMYFUNCTION("IMPORTRANGE(""https://docs.google.com/spreadsheets/d/1QqKyyYR6Q21VydFLVH3TRQUabQu_ym0Zz7PgGX0-kHA/edit?usp=sharing"",""แผน!EB57"")"),0)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IFERROR(__xludf.DUMMYFUNCTION("IMPORTRANGE(""https://docs.google.com/spreadsheets/d/1QqKyyYR6Q21VydFLVH3TRQUabQu_ym0Zz7PgGX0-kHA/edit?usp=sharing"",""แผน!EB57"")"),0)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77480</v>
      </c>
      <c r="O298" s="155">
        <f t="shared" ref="O298:O306" ca="1" si="136">IF(L298&gt;0,N298*100/L298,0)</f>
        <v>94.029126213592235</v>
      </c>
      <c r="P298" s="155">
        <f t="shared" ref="P298:P306" ca="1" si="137">IF(M298&gt;0,N298*100/M298,0)</f>
        <v>94.029126213592235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77480</v>
      </c>
      <c r="O300" s="93">
        <f t="shared" ca="1" si="136"/>
        <v>94.029126213592235</v>
      </c>
      <c r="P300" s="93">
        <f t="shared" ca="1" si="137"/>
        <v>94.029126213592235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77480</v>
      </c>
      <c r="O301" s="497">
        <f t="shared" ca="1" si="136"/>
        <v>94.029126213592235</v>
      </c>
      <c r="P301" s="497">
        <f t="shared" ca="1" si="137"/>
        <v>94.029126213592235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IFERROR(__xludf.DUMMYFUNCTION("IMPORTRANGE(""https://docs.google.com/spreadsheets/d/1MeEWN-I1oV_STSDYn1IFDPWt_1FKiwhDph83XaGc0o0/edit?usp=sharing"",""งบพรบ!DS57"")"),82400)</f>
        <v>82400</v>
      </c>
      <c r="M303" s="93">
        <f ca="1">IFERROR(__xludf.DUMMYFUNCTION("IMPORTRANGE(""https://docs.google.com/spreadsheets/d/1MeEWN-I1oV_STSDYn1IFDPWt_1FKiwhDph83XaGc0o0/edit?usp=sharing"",""งบพรบ!DX57"")"),82400)</f>
        <v>82400</v>
      </c>
      <c r="N303" s="93">
        <f ca="1">IFERROR(__xludf.DUMMYFUNCTION("IMPORTRANGE(""https://docs.google.com/spreadsheets/d/1MeEWN-I1oV_STSDYn1IFDPWt_1FKiwhDph83XaGc0o0/edit?usp=sharing"",""งบพรบ!DZ57"")"),77480)</f>
        <v>77480</v>
      </c>
      <c r="O303" s="93">
        <f t="shared" ca="1" si="136"/>
        <v>94.029126213592235</v>
      </c>
      <c r="P303" s="93">
        <f t="shared" ca="1" si="137"/>
        <v>94.029126213592235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IFERROR(__xludf.DUMMYFUNCTION("IMPORTRANGE(""https://docs.google.com/spreadsheets/d/1MeEWN-I1oV_STSDYn1IFDPWt_1FKiwhDph83XaGc0o0/edit?usp=sharing"",""งบพรบ!DV57"")"),0)</f>
        <v>0</v>
      </c>
      <c r="M306" s="93">
        <f ca="1">IFERROR(__xludf.DUMMYFUNCTION("IMPORTRANGE(""https://docs.google.com/spreadsheets/d/1MeEWN-I1oV_STSDYn1IFDPWt_1FKiwhDph83XaGc0o0/edit?usp=sharing"",""งบพรบ!DY57"")"),0)</f>
        <v>0</v>
      </c>
      <c r="N306" s="93">
        <f ca="1">IFERROR(__xludf.DUMMYFUNCTION("IMPORTRANGE(""https://docs.google.com/spreadsheets/d/1MeEWN-I1oV_STSDYn1IFDPWt_1FKiwhDph83XaGc0o0/edit?usp=sharing"",""งบพรบ!EA57"")"),0)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IFERROR(__xludf.DUMMYFUNCTION("IMPORTRANGE(""https://docs.google.com/spreadsheets/d/1QqKyyYR6Q21VydFLVH3TRQUabQu_ym0Zz7PgGX0-kHA/edit?usp=sharing"",""แผน!ED57"")"),20)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IFERROR(__xludf.DUMMYFUNCTION("IMPORTRANGE(""https://docs.google.com/spreadsheets/d/1QqKyyYR6Q21VydFLVH3TRQUabQu_ym0Zz7PgGX0-kHA/edit?usp=sharing"",""แผน!ED57"")"),20)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IFERROR(__xludf.DUMMYFUNCTION("IMPORTRANGE(""https://docs.google.com/spreadsheets/d/1QqKyyYR6Q21VydFLVH3TRQUabQu_ym0Zz7PgGX0-kHA/edit?usp=sharing"",""แผน!ED57"")"),20)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IFERROR(__xludf.DUMMYFUNCTION("IMPORTRANGE(""https://docs.google.com/spreadsheets/d/1QqKyyYR6Q21VydFLVH3TRQUabQu_ym0Zz7PgGX0-kHA/edit?usp=sharing"",""แผน!EE57"")"),4)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IFERROR(__xludf.DUMMYFUNCTION("IMPORTRANGE(""https://docs.google.com/spreadsheets/d/1MeEWN-I1oV_STSDYn1IFDPWt_1FKiwhDph83XaGc0o0/edit?usp=sharing"",""งบพรบ!EC57"")"),0)</f>
        <v>0</v>
      </c>
      <c r="M320" s="93">
        <f ca="1">IFERROR(__xludf.DUMMYFUNCTION("IMPORTRANGE(""https://docs.google.com/spreadsheets/d/1MeEWN-I1oV_STSDYn1IFDPWt_1FKiwhDph83XaGc0o0/edit?usp=sharing"",""งบพรบ!EH57"")"),0)</f>
        <v>0</v>
      </c>
      <c r="N320" s="93">
        <f ca="1">IFERROR(__xludf.DUMMYFUNCTION("IMPORTRANGE(""https://docs.google.com/spreadsheets/d/1MeEWN-I1oV_STSDYn1IFDPWt_1FKiwhDph83XaGc0o0/edit?usp=sharing"",""งบพรบ!EJ57"")"),0)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IFERROR(__xludf.DUMMYFUNCTION("IMPORTRANGE(""https://docs.google.com/spreadsheets/d/1MeEWN-I1oV_STSDYn1IFDPWt_1FKiwhDph83XaGc0o0/edit?usp=sharing"",""งบพรบ!EF57"")"),0)</f>
        <v>0</v>
      </c>
      <c r="M323" s="93">
        <f ca="1">IFERROR(__xludf.DUMMYFUNCTION("IMPORTRANGE(""https://docs.google.com/spreadsheets/d/1MeEWN-I1oV_STSDYn1IFDPWt_1FKiwhDph83XaGc0o0/edit?usp=sharing"",""งบพรบ!EI57"")"),0)</f>
        <v>0</v>
      </c>
      <c r="N323" s="93">
        <f ca="1">IFERROR(__xludf.DUMMYFUNCTION("IMPORTRANGE(""https://docs.google.com/spreadsheets/d/1MeEWN-I1oV_STSDYn1IFDPWt_1FKiwhDph83XaGc0o0/edit?usp=sharing"",""งบพรบ!EK57"")"),0)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IFERROR(__xludf.DUMMYFUNCTION("IMPORTRANGE(""https://docs.google.com/spreadsheets/d/1QqKyyYR6Q21VydFLVH3TRQUabQu_ym0Zz7PgGX0-kHA/edit?usp=sharing"",""แผน!EG57"")"),800)</f>
        <v>800</v>
      </c>
      <c r="J327" s="444">
        <f ca="1">J338+J341+J342+J343</f>
        <v>925</v>
      </c>
      <c r="K327" s="445">
        <f ca="1">IF(I327&gt;0,J327*100/I327,0)</f>
        <v>115.625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163000</v>
      </c>
      <c r="M328" s="155">
        <f t="shared" ca="1" si="149"/>
        <v>165500</v>
      </c>
      <c r="N328" s="155">
        <f t="shared" ca="1" si="149"/>
        <v>121340</v>
      </c>
      <c r="O328" s="155">
        <f t="shared" ref="O328:O336" ca="1" si="150">IF(L328&gt;0,N328*100/L328,0)</f>
        <v>74.441717791411037</v>
      </c>
      <c r="P328" s="155">
        <f t="shared" ref="P328:P336" ca="1" si="151">IF(M328&gt;0,N328*100/M328,0)</f>
        <v>73.317220543806641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163000</v>
      </c>
      <c r="M330" s="93">
        <f t="shared" ca="1" si="152"/>
        <v>165500</v>
      </c>
      <c r="N330" s="93">
        <f t="shared" ca="1" si="152"/>
        <v>121340</v>
      </c>
      <c r="O330" s="93">
        <f t="shared" ca="1" si="150"/>
        <v>74.441717791411037</v>
      </c>
      <c r="P330" s="93">
        <f t="shared" ca="1" si="151"/>
        <v>73.317220543806641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163000</v>
      </c>
      <c r="M331" s="497">
        <f t="shared" ca="1" si="153"/>
        <v>165500</v>
      </c>
      <c r="N331" s="497">
        <f t="shared" ca="1" si="153"/>
        <v>121340</v>
      </c>
      <c r="O331" s="497">
        <f t="shared" ca="1" si="150"/>
        <v>74.441717791411037</v>
      </c>
      <c r="P331" s="497">
        <f t="shared" ca="1" si="151"/>
        <v>73.317220543806641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IFERROR(__xludf.DUMMYFUNCTION("IMPORTRANGE(""https://docs.google.com/spreadsheets/d/1MeEWN-I1oV_STSDYn1IFDPWt_1FKiwhDph83XaGc0o0/edit?usp=sharing"",""งบพรบ!EM57"")"),163000)</f>
        <v>163000</v>
      </c>
      <c r="M333" s="93">
        <f ca="1">IFERROR(__xludf.DUMMYFUNCTION("IMPORTRANGE(""https://docs.google.com/spreadsheets/d/1MeEWN-I1oV_STSDYn1IFDPWt_1FKiwhDph83XaGc0o0/edit?usp=sharing"",""งบพรบ!ER57"")"),165500)</f>
        <v>165500</v>
      </c>
      <c r="N333" s="93">
        <f ca="1">IFERROR(__xludf.DUMMYFUNCTION("IMPORTRANGE(""https://docs.google.com/spreadsheets/d/1MeEWN-I1oV_STSDYn1IFDPWt_1FKiwhDph83XaGc0o0/edit?usp=sharing"",""งบพรบ!ET57"")"),121340)</f>
        <v>121340</v>
      </c>
      <c r="O333" s="93">
        <f t="shared" ca="1" si="150"/>
        <v>74.441717791411037</v>
      </c>
      <c r="P333" s="93">
        <f t="shared" ca="1" si="151"/>
        <v>73.317220543806641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IFERROR(__xludf.DUMMYFUNCTION("IMPORTRANGE(""https://docs.google.com/spreadsheets/d/1MeEWN-I1oV_STSDYn1IFDPWt_1FKiwhDph83XaGc0o0/edit?usp=sharing"",""งบพรบ!EP57"")"),0)</f>
        <v>0</v>
      </c>
      <c r="M336" s="93">
        <f ca="1">IFERROR(__xludf.DUMMYFUNCTION("IMPORTRANGE(""https://docs.google.com/spreadsheets/d/1MeEWN-I1oV_STSDYn1IFDPWt_1FKiwhDph83XaGc0o0/edit?usp=sharing"",""งบพรบ!ES57"")"),0)</f>
        <v>0</v>
      </c>
      <c r="N336" s="93">
        <f ca="1">IFERROR(__xludf.DUMMYFUNCTION("IMPORTRANGE(""https://docs.google.com/spreadsheets/d/1MeEWN-I1oV_STSDYn1IFDPWt_1FKiwhDph83XaGc0o0/edit?usp=sharing"",""งบพรบ!EU57"")"),0)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IFERROR(__xludf.DUMMYFUNCTION("IMPORTRANGE(""https://docs.google.com/spreadsheets/d/1QqKyyYR6Q21VydFLVH3TRQUabQu_ym0Zz7PgGX0-kHA/edit?usp=sharing"",""แผน!EG57"")"),800)</f>
        <v>800</v>
      </c>
      <c r="J338" s="270">
        <f ca="1">IFERROR(__xludf.DUMMYFUNCTION("IMPORTRANGE(""https://docs.google.com/spreadsheets/d/1kVcqe37tkHyjCSG3S0O1AXqVkqjo8mSIZil3BcpIysc/edit?usp=sharing"",""ศูนย์!D57"")"),879)</f>
        <v>879</v>
      </c>
      <c r="K338" s="497">
        <f ca="1">IF(I338&gt;0,J338*100/I338,0)</f>
        <v>109.875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IFERROR(__xludf.DUMMYFUNCTION("IMPORTRANGE(""https://docs.google.com/spreadsheets/d/1QqKyyYR6Q21VydFLVH3TRQUabQu_ym0Zz7PgGX0-kHA/edit?usp=sharing"",""แผน!EH57"")"),5)</f>
        <v>5</v>
      </c>
      <c r="J340" s="270">
        <f ca="1">IFERROR(__xludf.DUMMYFUNCTION("IMPORTRANGE(""https://docs.google.com/spreadsheets/d/1kVcqe37tkHyjCSG3S0O1AXqVkqjo8mSIZil3BcpIysc/edit?usp=sharing"",""ศูนย์!E57"")"),2)</f>
        <v>2</v>
      </c>
      <c r="K340" s="497">
        <f ca="1">IF(I340&gt;0,J340*100/I340,0)</f>
        <v>40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IFERROR(__xludf.DUMMYFUNCTION("IMPORTRANGE(""https://docs.google.com/spreadsheets/d/1kVcqe37tkHyjCSG3S0O1AXqVkqjo8mSIZil3BcpIysc/edit?usp=sharing"",""ศูนย์!F57"")"),46)</f>
        <v>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400550</v>
      </c>
      <c r="M345" s="155">
        <f t="shared" ca="1" si="155"/>
        <v>378445</v>
      </c>
      <c r="N345" s="155">
        <f t="shared" ca="1" si="155"/>
        <v>311008</v>
      </c>
      <c r="O345" s="155">
        <f t="shared" ref="O345:O353" ca="1" si="156">IF(L345&gt;0,N345*100/L345,0)</f>
        <v>77.645237798027708</v>
      </c>
      <c r="P345" s="155">
        <f t="shared" ref="P345:P353" ca="1" si="157">IF(M345&gt;0,N345*100/M345,0)</f>
        <v>82.180501790220504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400550</v>
      </c>
      <c r="M347" s="93">
        <f t="shared" ca="1" si="158"/>
        <v>378445</v>
      </c>
      <c r="N347" s="93">
        <f t="shared" ca="1" si="158"/>
        <v>311008</v>
      </c>
      <c r="O347" s="93">
        <f t="shared" ca="1" si="156"/>
        <v>77.645237798027708</v>
      </c>
      <c r="P347" s="93">
        <f t="shared" ca="1" si="157"/>
        <v>82.180501790220504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326450</v>
      </c>
      <c r="M348" s="497">
        <f t="shared" ca="1" si="159"/>
        <v>304345</v>
      </c>
      <c r="N348" s="497">
        <f t="shared" ca="1" si="159"/>
        <v>236908</v>
      </c>
      <c r="O348" s="497">
        <f t="shared" ca="1" si="156"/>
        <v>72.570990963394081</v>
      </c>
      <c r="P348" s="497">
        <f t="shared" ca="1" si="157"/>
        <v>77.841922817854737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IFERROR(__xludf.DUMMYFUNCTION("IMPORTRANGE(""https://docs.google.com/spreadsheets/d/1MeEWN-I1oV_STSDYn1IFDPWt_1FKiwhDph83XaGc0o0/edit?usp=sharing"",""งบพรบ!EW57"")"),326450)</f>
        <v>326450</v>
      </c>
      <c r="M350" s="93">
        <f ca="1">IFERROR(__xludf.DUMMYFUNCTION("IMPORTRANGE(""https://docs.google.com/spreadsheets/d/1MeEWN-I1oV_STSDYn1IFDPWt_1FKiwhDph83XaGc0o0/edit?usp=sharing"",""งบพรบ!FB57"")"),304345)</f>
        <v>304345</v>
      </c>
      <c r="N350" s="93">
        <f ca="1">IFERROR(__xludf.DUMMYFUNCTION("IMPORTRANGE(""https://docs.google.com/spreadsheets/d/1MeEWN-I1oV_STSDYn1IFDPWt_1FKiwhDph83XaGc0o0/edit?usp=sharing"",""งบพรบ!FD57"")"),236908)</f>
        <v>236908</v>
      </c>
      <c r="O350" s="93">
        <f t="shared" ca="1" si="156"/>
        <v>72.570990963394081</v>
      </c>
      <c r="P350" s="93">
        <f t="shared" ca="1" si="157"/>
        <v>77.841922817854737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IFERROR(__xludf.DUMMYFUNCTION("IMPORTRANGE(""https://docs.google.com/spreadsheets/d/1MeEWN-I1oV_STSDYn1IFDPWt_1FKiwhDph83XaGc0o0/edit?usp=sharing"",""งบพรบ!EZ57"")"),74100)</f>
        <v>74100</v>
      </c>
      <c r="M353" s="93">
        <f ca="1">IFERROR(__xludf.DUMMYFUNCTION("IMPORTRANGE(""https://docs.google.com/spreadsheets/d/1MeEWN-I1oV_STSDYn1IFDPWt_1FKiwhDph83XaGc0o0/edit?usp=sharing"",""งบพรบ!FC57"")"),74100)</f>
        <v>74100</v>
      </c>
      <c r="N353" s="93">
        <f ca="1">IFERROR(__xludf.DUMMYFUNCTION("IMPORTRANGE(""https://docs.google.com/spreadsheets/d/1MeEWN-I1oV_STSDYn1IFDPWt_1FKiwhDph83XaGc0o0/edit?usp=sharing"",""งบพรบ!FE57"")"),74100)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IFERROR(__xludf.DUMMYFUNCTION("IMPORTRANGE(""https://docs.google.com/spreadsheets/d/1QqKyyYR6Q21VydFLVH3TRQUabQu_ym0Zz7PgGX0-kHA/edit?usp=sharing"",""แผน!EP57"")"),18)</f>
        <v>18</v>
      </c>
      <c r="J355" s="464">
        <f ca="1">J362</f>
        <v>37</v>
      </c>
      <c r="K355" s="465">
        <f ca="1">IF(I355&gt;0,J355*100/I355,0)</f>
        <v>205.55555555555554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IFERROR(__xludf.DUMMYFUNCTION("IMPORTRANGE(""https://docs.google.com/spreadsheets/d/1XWAQStnk-4SwqDmLtmXYiTMKHgktTP8We1SCoS47DrQ/edit?usp=sharing"",""จัดที่ดิน!W57"")"),30)</f>
        <v>30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IFERROR(__xludf.DUMMYFUNCTION("IMPORTRANGE(""https://docs.google.com/spreadsheets/d/1QqKyyYR6Q21VydFLVH3TRQUabQu_ym0Zz7PgGX0-kHA/edit?usp=sharing"",""แผน!EO57"")"),163)</f>
        <v>163</v>
      </c>
      <c r="J359" s="270">
        <f ca="1">IFERROR(__xludf.DUMMYFUNCTION("IMPORTRANGE(""https://docs.google.com/spreadsheets/d/1XWAQStnk-4SwqDmLtmXYiTMKHgktTP8We1SCoS47DrQ/edit?usp=sharing"",""จัดที่ดิน!X57"")"),292.159999999999)</f>
        <v>292.159999999999</v>
      </c>
      <c r="K359" s="497">
        <f t="shared" ca="1" si="161"/>
        <v>179.23926380368039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IFERROR(__xludf.DUMMYFUNCTION("IMPORTRANGE(""https://docs.google.com/spreadsheets/d/1QqKyyYR6Q21VydFLVH3TRQUabQu_ym0Zz7PgGX0-kHA/edit?usp=sharing"",""แผน!EP57"")"),18)</f>
        <v>18</v>
      </c>
      <c r="J360" s="270">
        <f ca="1">IFERROR(__xludf.DUMMYFUNCTION("IMPORTRANGE(""https://docs.google.com/spreadsheets/d/1XWAQStnk-4SwqDmLtmXYiTMKHgktTP8We1SCoS47DrQ/edit?usp=sharing"",""จัดที่ดิน!Y57"")"),38)</f>
        <v>38</v>
      </c>
      <c r="K360" s="497">
        <f t="shared" ca="1" si="161"/>
        <v>211.11111111111111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IFERROR(__xludf.DUMMYFUNCTION("IMPORTRANGE(""https://docs.google.com/spreadsheets/d/1XWAQStnk-4SwqDmLtmXYiTMKHgktTP8We1SCoS47DrQ/edit?usp=sharing"",""จัดที่ดิน!Z57"")"),335.75)</f>
        <v>335.75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IFERROR(__xludf.DUMMYFUNCTION("IMPORTRANGE(""https://docs.google.com/spreadsheets/d/1QqKyyYR6Q21VydFLVH3TRQUabQu_ym0Zz7PgGX0-kHA/edit?usp=sharing"",""แผน!EP57"")"),18)</f>
        <v>18</v>
      </c>
      <c r="J362" s="270">
        <f ca="1">IFERROR(__xludf.DUMMYFUNCTION("IMPORTRANGE(""https://docs.google.com/spreadsheets/d/1XWAQStnk-4SwqDmLtmXYiTMKHgktTP8We1SCoS47DrQ/edit?usp=sharing"",""จัดที่ดิน!AA57"")"),37)</f>
        <v>37</v>
      </c>
      <c r="K362" s="497">
        <f t="shared" ca="1" si="161"/>
        <v>205.55555555555554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IFERROR(__xludf.DUMMYFUNCTION("IMPORTRANGE(""https://docs.google.com/spreadsheets/d/1XWAQStnk-4SwqDmLtmXYiTMKHgktTP8We1SCoS47DrQ/edit?usp=sharing"",""จัดที่ดิน!AB57"")"),476.45)</f>
        <v>476.45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88</v>
      </c>
      <c r="J364" s="478">
        <f t="shared" ca="1" si="162"/>
        <v>96</v>
      </c>
      <c r="K364" s="479">
        <f t="shared" ca="1" si="161"/>
        <v>109.09090909090909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IFERROR(__xludf.DUMMYFUNCTION("IMPORTRANGE(""https://docs.google.com/spreadsheets/d/1QqKyyYR6Q21VydFLVH3TRQUabQu_ym0Zz7PgGX0-kHA/edit?usp=sharing"",""แผน!EJ57"")"),3)</f>
        <v>3</v>
      </c>
      <c r="J365" s="490">
        <f ca="1">J372</f>
        <v>27</v>
      </c>
      <c r="K365" s="491">
        <f t="shared" ca="1" si="161"/>
        <v>900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IFERROR(__xludf.DUMMYFUNCTION("IMPORTRANGE(""https://docs.google.com/spreadsheets/d/1XWAQStnk-4SwqDmLtmXYiTMKHgktTP8We1SCoS47DrQ/edit?usp=sharing"",""จัดที่ดิน!E57"")"),20)</f>
        <v>20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IFERROR(__xludf.DUMMYFUNCTION("IMPORTRANGE(""https://docs.google.com/spreadsheets/d/1QqKyyYR6Q21VydFLVH3TRQUabQu_ym0Zz7PgGX0-kHA/edit?usp=sharing"",""แผน!EI57"")"),13)</f>
        <v>13</v>
      </c>
      <c r="J369" s="270">
        <f ca="1">IFERROR(__xludf.DUMMYFUNCTION("IMPORTRANGE(""https://docs.google.com/spreadsheets/d/1XWAQStnk-4SwqDmLtmXYiTMKHgktTP8We1SCoS47DrQ/edit?usp=sharing"",""จัดที่ดิน!F57"")"),180.79)</f>
        <v>180.79</v>
      </c>
      <c r="K369" s="497">
        <f t="shared" ca="1" si="163"/>
        <v>1390.6923076923076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IFERROR(__xludf.DUMMYFUNCTION("IMPORTRANGE(""https://docs.google.com/spreadsheets/d/1QqKyyYR6Q21VydFLVH3TRQUabQu_ym0Zz7PgGX0-kHA/edit?usp=sharing"",""แผน!EJ57"")"),3)</f>
        <v>3</v>
      </c>
      <c r="J370" s="270">
        <f ca="1">IFERROR(__xludf.DUMMYFUNCTION("IMPORTRANGE(""https://docs.google.com/spreadsheets/d/1XWAQStnk-4SwqDmLtmXYiTMKHgktTP8We1SCoS47DrQ/edit?usp=sharing"",""จัดที่ดิน!G57"")"),26)</f>
        <v>26</v>
      </c>
      <c r="K370" s="497">
        <f t="shared" ca="1" si="163"/>
        <v>866.66666666666663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IFERROR(__xludf.DUMMYFUNCTION("IMPORTRANGE(""https://docs.google.com/spreadsheets/d/1XWAQStnk-4SwqDmLtmXYiTMKHgktTP8We1SCoS47DrQ/edit?usp=sharing"",""จัดที่ดิน!H57"")"),206.4)</f>
        <v>206.4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IFERROR(__xludf.DUMMYFUNCTION("IMPORTRANGE(""https://docs.google.com/spreadsheets/d/1QqKyyYR6Q21VydFLVH3TRQUabQu_ym0Zz7PgGX0-kHA/edit?usp=sharing"",""แผน!EJ57"")"),3)</f>
        <v>3</v>
      </c>
      <c r="J372" s="270">
        <f ca="1">IFERROR(__xludf.DUMMYFUNCTION("IMPORTRANGE(""https://docs.google.com/spreadsheets/d/1XWAQStnk-4SwqDmLtmXYiTMKHgktTP8We1SCoS47DrQ/edit?usp=sharing"",""จัดที่ดิน!I57"")"),27)</f>
        <v>27</v>
      </c>
      <c r="K372" s="497">
        <f t="shared" ca="1" si="163"/>
        <v>900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IFERROR(__xludf.DUMMYFUNCTION("IMPORTRANGE(""https://docs.google.com/spreadsheets/d/1XWAQStnk-4SwqDmLtmXYiTMKHgktTP8We1SCoS47DrQ/edit?usp=sharing"",""จัดที่ดิน!J57"")"),365.08)</f>
        <v>365.08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IFERROR(__xludf.DUMMYFUNCTION("IMPORTRANGE(""https://docs.google.com/spreadsheets/d/1QqKyyYR6Q21VydFLVH3TRQUabQu_ym0Zz7PgGX0-kHA/edit?usp=sharing"",""แผน!EU57"")"),85)</f>
        <v>85</v>
      </c>
      <c r="J374" s="490">
        <f ca="1">J381</f>
        <v>69</v>
      </c>
      <c r="K374" s="491">
        <f t="shared" ca="1" si="163"/>
        <v>81.17647058823529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IFERROR(__xludf.DUMMYFUNCTION("IMPORTRANGE(""https://docs.google.com/spreadsheets/d/1XWAQStnk-4SwqDmLtmXYiTMKHgktTP8We1SCoS47DrQ/edit?usp=sharing"",""จัดที่ดิน!AH57"")"),10)</f>
        <v>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IFERROR(__xludf.DUMMYFUNCTION("IMPORTRANGE(""https://docs.google.com/spreadsheets/d/1QqKyyYR6Q21VydFLVH3TRQUabQu_ym0Zz7PgGX0-kHA/edit?usp=sharing"",""แผน!ET57"")"),150)</f>
        <v>150</v>
      </c>
      <c r="J378" s="270">
        <f ca="1">IFERROR(__xludf.DUMMYFUNCTION("IMPORTRANGE(""https://docs.google.com/spreadsheets/d/1XWAQStnk-4SwqDmLtmXYiTMKHgktTP8We1SCoS47DrQ/edit?usp=sharing"",""จัดที่ดิน!AI57"")"),111.37)</f>
        <v>111.37</v>
      </c>
      <c r="K378" s="497">
        <f t="shared" ca="1" si="164"/>
        <v>74.24666666666667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IFERROR(__xludf.DUMMYFUNCTION("IMPORTRANGE(""https://docs.google.com/spreadsheets/d/1QqKyyYR6Q21VydFLVH3TRQUabQu_ym0Zz7PgGX0-kHA/edit?usp=sharing"",""แผน!EU57"")"),85)</f>
        <v>85</v>
      </c>
      <c r="J379" s="270">
        <f ca="1">IFERROR(__xludf.DUMMYFUNCTION("IMPORTRANGE(""https://docs.google.com/spreadsheets/d/1XWAQStnk-4SwqDmLtmXYiTMKHgktTP8We1SCoS47DrQ/edit?usp=sharing"",""จัดที่ดิน!AJ57"")"),71)</f>
        <v>71</v>
      </c>
      <c r="K379" s="497">
        <f t="shared" ca="1" si="164"/>
        <v>83.529411764705884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IFERROR(__xludf.DUMMYFUNCTION("IMPORTRANGE(""https://docs.google.com/spreadsheets/d/1XWAQStnk-4SwqDmLtmXYiTMKHgktTP8We1SCoS47DrQ/edit?usp=sharing"",""จัดที่ดิน!AK57"")"),1210.55)</f>
        <v>1210.55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IFERROR(__xludf.DUMMYFUNCTION("IMPORTRANGE(""https://docs.google.com/spreadsheets/d/1QqKyyYR6Q21VydFLVH3TRQUabQu_ym0Zz7PgGX0-kHA/edit?usp=sharing"",""แผน!EU57"")"),85)</f>
        <v>85</v>
      </c>
      <c r="J381" s="270">
        <f ca="1">IFERROR(__xludf.DUMMYFUNCTION("IMPORTRANGE(""https://docs.google.com/spreadsheets/d/1XWAQStnk-4SwqDmLtmXYiTMKHgktTP8We1SCoS47DrQ/edit?usp=sharing"",""จัดที่ดิน!AL57"")"),69)</f>
        <v>69</v>
      </c>
      <c r="K381" s="497">
        <f t="shared" ca="1" si="164"/>
        <v>81.17647058823529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IFERROR(__xludf.DUMMYFUNCTION("IMPORTRANGE(""https://docs.google.com/spreadsheets/d/1XWAQStnk-4SwqDmLtmXYiTMKHgktTP8We1SCoS47DrQ/edit?usp=sharing"",""จัดที่ดิน!AM57"")"),1201.21)</f>
        <v>1201.21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IFERROR(__xludf.DUMMYFUNCTION("IMPORTRANGE(""https://docs.google.com/spreadsheets/d/1QqKyyYR6Q21VydFLVH3TRQUabQu_ym0Zz7PgGX0-kHA/edit?usp=sharing"",""แผน!EW57"")"),7)</f>
        <v>7</v>
      </c>
      <c r="J385" s="501">
        <f ca="1">IFERROR(__xludf.DUMMYFUNCTION("IMPORTRANGE(""https://docs.google.com/spreadsheets/d/1XWAQStnk-4SwqDmLtmXYiTMKHgktTP8We1SCoS47DrQ/edit?usp=sharing"",""จัดที่ดิน!AP57"")"),0)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IFERROR(__xludf.DUMMYFUNCTION("IMPORTRANGE(""https://docs.google.com/spreadsheets/d/1MeEWN-I1oV_STSDYn1IFDPWt_1FKiwhDph83XaGc0o0/edit?usp=sharing"",""งบพรบ!FG57"")"),0)</f>
        <v>0</v>
      </c>
      <c r="M394" s="93">
        <f ca="1">IFERROR(__xludf.DUMMYFUNCTION("IMPORTRANGE(""https://docs.google.com/spreadsheets/d/1MeEWN-I1oV_STSDYn1IFDPWt_1FKiwhDph83XaGc0o0/edit?usp=sharing"",""งบพรบ!FL57"")"),0)</f>
        <v>0</v>
      </c>
      <c r="N394" s="93">
        <f ca="1">IFERROR(__xludf.DUMMYFUNCTION("IMPORTRANGE(""https://docs.google.com/spreadsheets/d/1MeEWN-I1oV_STSDYn1IFDPWt_1FKiwhDph83XaGc0o0/edit?usp=sharing"",""งบพรบ!FN57"")"),0)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IFERROR(__xludf.DUMMYFUNCTION("IMPORTRANGE(""https://docs.google.com/spreadsheets/d/1MeEWN-I1oV_STSDYn1IFDPWt_1FKiwhDph83XaGc0o0/edit?usp=sharing"",""งบพรบ!FJ57"")"),0)</f>
        <v>0</v>
      </c>
      <c r="M397" s="93">
        <f ca="1">IFERROR(__xludf.DUMMYFUNCTION("IMPORTRANGE(""https://docs.google.com/spreadsheets/d/1MeEWN-I1oV_STSDYn1IFDPWt_1FKiwhDph83XaGc0o0/edit?usp=sharing"",""งบพรบ!FM57"")"),0)</f>
        <v>0</v>
      </c>
      <c r="N397" s="93">
        <f ca="1">IFERROR(__xludf.DUMMYFUNCTION("IMPORTRANGE(""https://docs.google.com/spreadsheets/d/1MeEWN-I1oV_STSDYn1IFDPWt_1FKiwhDph83XaGc0o0/edit?usp=sharing"",""งบพรบ!FO57"")"),0)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IFERROR(__xludf.DUMMYFUNCTION("IMPORTRANGE(""https://docs.google.com/spreadsheets/d/1MeEWN-I1oV_STSDYn1IFDPWt_1FKiwhDph83XaGc0o0/edit?usp=sharing"",""งบพรบ!FQ57"")"),0)</f>
        <v>0</v>
      </c>
      <c r="M407" s="93">
        <f ca="1">IFERROR(__xludf.DUMMYFUNCTION("IMPORTRANGE(""https://docs.google.com/spreadsheets/d/1MeEWN-I1oV_STSDYn1IFDPWt_1FKiwhDph83XaGc0o0/edit?usp=sharing"",""งบพรบ!FV57"")"),0)</f>
        <v>0</v>
      </c>
      <c r="N407" s="93">
        <f ca="1">IFERROR(__xludf.DUMMYFUNCTION("IMPORTRANGE(""https://docs.google.com/spreadsheets/d/1MeEWN-I1oV_STSDYn1IFDPWt_1FKiwhDph83XaGc0o0/edit?usp=sharing"",""งบพรบ!FX57"")"),0)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IFERROR(__xludf.DUMMYFUNCTION("IMPORTRANGE(""https://docs.google.com/spreadsheets/d/1MeEWN-I1oV_STSDYn1IFDPWt_1FKiwhDph83XaGc0o0/edit?usp=sharing"",""งบพรบ!FT57"")"),0)</f>
        <v>0</v>
      </c>
      <c r="M410" s="93">
        <f ca="1">IFERROR(__xludf.DUMMYFUNCTION("IMPORTRANGE(""https://docs.google.com/spreadsheets/d/1MeEWN-I1oV_STSDYn1IFDPWt_1FKiwhDph83XaGc0o0/edit?usp=sharing"",""งบพรบ!FW57"")"),0)</f>
        <v>0</v>
      </c>
      <c r="N410" s="93">
        <f ca="1">IFERROR(__xludf.DUMMYFUNCTION("IMPORTRANGE(""https://docs.google.com/spreadsheets/d/1MeEWN-I1oV_STSDYn1IFDPWt_1FKiwhDph83XaGc0o0/edit?usp=sharing"",""งบพรบ!FY57"")"),0)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642908</v>
      </c>
      <c r="M414" s="549">
        <f t="shared" ca="1" si="181"/>
        <v>642908</v>
      </c>
      <c r="N414" s="549">
        <f t="shared" si="181"/>
        <v>301310</v>
      </c>
      <c r="O414" s="549">
        <f ca="1">IF(L414&gt;0,N414*100/L414,0)</f>
        <v>46.866736764824829</v>
      </c>
      <c r="P414" s="549">
        <f ca="1">IF(M414&gt;0,N414*100/M414,0)</f>
        <v>46.866736764824829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66150</v>
      </c>
      <c r="O419" s="155">
        <f t="shared" ref="O419:O424" ca="1" si="185">IF(L419&gt;0,N419*100/L419,0)</f>
        <v>84.096109839816933</v>
      </c>
      <c r="P419" s="155">
        <f t="shared" ref="P419:P424" ca="1" si="186">IF(M419&gt;0,N419*100/M419,0)</f>
        <v>84.096109839816933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66150</v>
      </c>
      <c r="O421" s="93">
        <f t="shared" ca="1" si="185"/>
        <v>84.096109839816933</v>
      </c>
      <c r="P421" s="93">
        <f t="shared" ca="1" si="186"/>
        <v>84.096109839816933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66150</v>
      </c>
      <c r="O422" s="497">
        <f t="shared" ca="1" si="185"/>
        <v>84.096109839816933</v>
      </c>
      <c r="P422" s="497">
        <f t="shared" ca="1" si="186"/>
        <v>84.096109839816933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IFERROR(__xludf.DUMMYFUNCTION("IMPORTRANGE(""https://docs.google.com/spreadsheets/d/1QqKyyYR6Q21VydFLVH3TRQUabQu_ym0Zz7PgGX0-kHA/edit?usp=sharing"",""แผน!EY57"")"),78660)</f>
        <v>78660</v>
      </c>
      <c r="M424" s="93">
        <f ca="1">L424</f>
        <v>78660</v>
      </c>
      <c r="N424" s="93">
        <f>N425+N426+N427+N428</f>
        <v>66150</v>
      </c>
      <c r="O424" s="93">
        <f t="shared" ca="1" si="185"/>
        <v>84.096109839816933</v>
      </c>
      <c r="P424" s="93">
        <f t="shared" ca="1" si="186"/>
        <v>84.096109839816933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6500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11250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IFERROR(__xludf.DUMMYFUNCTION("IMPORTRANGE(""https://docs.google.com/spreadsheets/d/1QqKyyYR6Q21VydFLVH3TRQUabQu_ym0Zz7PgGX0-kHA/edit?usp=sharing"",""แผน!FC57"")"),20)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IFERROR(__xludf.DUMMYFUNCTION("IMPORTRANGE(""https://docs.google.com/spreadsheets/d/1QqKyyYR6Q21VydFLVH3TRQUabQu_ym0Zz7PgGX0-kHA/edit?usp=sharing"",""แผน!FF57"")"),20)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IFERROR(__xludf.DUMMYFUNCTION("IMPORTRANGE(""https://docs.google.com/spreadsheets/d/1QqKyyYR6Q21VydFLVH3TRQUabQu_ym0Zz7PgGX0-kHA/edit?usp=sharing"",""แผน!FX57"")"),21)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IFERROR(__xludf.DUMMYFUNCTION("IMPORTRANGE(""https://docs.google.com/spreadsheets/d/1QqKyyYR6Q21VydFLVH3TRQUabQu_ym0Zz7PgGX0-kHA/edit?usp=sharing"",""แผน!FW57"")"),200)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179763</v>
      </c>
      <c r="M467" s="195">
        <f t="shared" ca="1" si="206"/>
        <v>179763</v>
      </c>
      <c r="N467" s="195">
        <f t="shared" si="206"/>
        <v>41315</v>
      </c>
      <c r="O467" s="195">
        <f t="shared" ref="O467:O472" ca="1" si="207">IF(L467&gt;0,N467*100/L467,0)</f>
        <v>22.98303877883658</v>
      </c>
      <c r="P467" s="195">
        <f t="shared" ref="P467:P472" ca="1" si="208">IF(M467&gt;0,N467*100/M467,0)</f>
        <v>22.98303877883658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179763</v>
      </c>
      <c r="M469" s="93">
        <f t="shared" ca="1" si="209"/>
        <v>179763</v>
      </c>
      <c r="N469" s="93">
        <f t="shared" si="209"/>
        <v>41315</v>
      </c>
      <c r="O469" s="93">
        <f t="shared" ca="1" si="207"/>
        <v>22.98303877883658</v>
      </c>
      <c r="P469" s="93">
        <f t="shared" ca="1" si="208"/>
        <v>22.98303877883658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179763</v>
      </c>
      <c r="M470" s="497">
        <f t="shared" ca="1" si="210"/>
        <v>179763</v>
      </c>
      <c r="N470" s="497">
        <f t="shared" si="210"/>
        <v>41315</v>
      </c>
      <c r="O470" s="497">
        <f t="shared" ca="1" si="207"/>
        <v>22.98303877883658</v>
      </c>
      <c r="P470" s="497">
        <f t="shared" ca="1" si="208"/>
        <v>22.98303877883658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IFERROR(__xludf.DUMMYFUNCTION("IMPORTRANGE(""https://docs.google.com/spreadsheets/d/1QqKyyYR6Q21VydFLVH3TRQUabQu_ym0Zz7PgGX0-kHA/edit?usp=sharing"",""แผน!FS57"")"),179763)</f>
        <v>179763</v>
      </c>
      <c r="M472" s="93">
        <f ca="1">L472</f>
        <v>179763</v>
      </c>
      <c r="N472" s="93">
        <f>N473+N474+N475+N476</f>
        <v>41315</v>
      </c>
      <c r="O472" s="93">
        <f t="shared" ca="1" si="207"/>
        <v>22.98303877883658</v>
      </c>
      <c r="P472" s="93">
        <f t="shared" ca="1" si="208"/>
        <v>22.98303877883658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25780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5640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3500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6395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IFERROR(__xludf.DUMMYFUNCTION("IMPORTRANGE(""https://docs.google.com/spreadsheets/d/1QqKyyYR6Q21VydFLVH3TRQUabQu_ym0Zz7PgGX0-kHA/edit?usp=sharing"",""แผน!FY57"")"),180)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IFERROR(__xludf.DUMMYFUNCTION("IMPORTRANGE(""https://docs.google.com/spreadsheets/d/1QqKyyYR6Q21VydFLVH3TRQUabQu_ym0Zz7PgGX0-kHA/edit?usp=sharing"",""แผน!FZ57"")"),18)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IFERROR(__xludf.DUMMYFUNCTION("IMPORTRANGE(""https://docs.google.com/spreadsheets/d/1QqKyyYR6Q21VydFLVH3TRQUabQu_ym0Zz7PgGX0-kHA/edit?usp=sharing"",""แผน!GA57"")"),20)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IFERROR(__xludf.DUMMYFUNCTION("IMPORTRANGE(""https://docs.google.com/spreadsheets/d/1QqKyyYR6Q21VydFLVH3TRQUabQu_ym0Zz7PgGX0-kHA/edit?usp=sharing"",""แผน!GB57"")"),2)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IFERROR(__xludf.DUMMYFUNCTION("IMPORTRANGE(""https://docs.google.com/spreadsheets/d/1QqKyyYR6Q21VydFLVH3TRQUabQu_ym0Zz7PgGX0-kHA/edit?usp=sharing"",""แผน!FY57"")"),180)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IFERROR(__xludf.DUMMYFUNCTION("IMPORTRANGE(""https://docs.google.com/spreadsheets/d/1QqKyyYR6Q21VydFLVH3TRQUabQu_ym0Zz7PgGX0-kHA/edit?usp=sharing"",""แผน!GA57"")"),20)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217100</v>
      </c>
      <c r="M544" s="155">
        <f t="shared" ca="1" si="236"/>
        <v>217100</v>
      </c>
      <c r="N544" s="155">
        <f t="shared" si="236"/>
        <v>122705</v>
      </c>
      <c r="O544" s="155">
        <f t="shared" ref="O544:O549" ca="1" si="237">IF(L544&gt;0,N544*100/L544,0)</f>
        <v>56.520036849378165</v>
      </c>
      <c r="P544" s="155">
        <f t="shared" ref="P544:P549" ca="1" si="238">IF(M544&gt;0,N544*100/M544,0)</f>
        <v>56.520036849378165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217100</v>
      </c>
      <c r="M546" s="93">
        <f t="shared" ca="1" si="240"/>
        <v>217100</v>
      </c>
      <c r="N546" s="93">
        <f t="shared" si="240"/>
        <v>122705</v>
      </c>
      <c r="O546" s="93">
        <f t="shared" ca="1" si="237"/>
        <v>56.520036849378165</v>
      </c>
      <c r="P546" s="93">
        <f t="shared" ca="1" si="238"/>
        <v>56.520036849378165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217100</v>
      </c>
      <c r="M547" s="497">
        <f t="shared" ca="1" si="241"/>
        <v>217100</v>
      </c>
      <c r="N547" s="497">
        <f t="shared" si="241"/>
        <v>122705</v>
      </c>
      <c r="O547" s="497">
        <f t="shared" ca="1" si="237"/>
        <v>56.520036849378165</v>
      </c>
      <c r="P547" s="497">
        <f t="shared" ca="1" si="238"/>
        <v>56.520036849378165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IFERROR(__xludf.DUMMYFUNCTION("IMPORTRANGE(""https://docs.google.com/spreadsheets/d/1QqKyyYR6Q21VydFLVH3TRQUabQu_ym0Zz7PgGX0-kHA/edit?usp=sharing"",""แผน!HB57"")"),217100)</f>
        <v>217100</v>
      </c>
      <c r="M549" s="93">
        <f ca="1">L549</f>
        <v>217100</v>
      </c>
      <c r="N549" s="93">
        <f>N550+N551+N552+N553+N554</f>
        <v>122705</v>
      </c>
      <c r="O549" s="93">
        <f t="shared" ca="1" si="237"/>
        <v>56.520036849378165</v>
      </c>
      <c r="P549" s="93">
        <f t="shared" ca="1" si="238"/>
        <v>56.520036849378165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27305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91000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4400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274.72000000000003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IFERROR(__xludf.DUMMYFUNCTION("IMPORTRANGE(""https://docs.google.com/spreadsheets/d/1QqKyyYR6Q21VydFLVH3TRQUabQu_ym0Zz7PgGX0-kHA/edit?usp=sharing"",""แผน!HJ57"")"),274.72)</f>
        <v>274.72000000000003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IFERROR(__xludf.DUMMYFUNCTION("IMPORTRANGE(""https://docs.google.com/spreadsheets/d/1QqKyyYR6Q21VydFLVH3TRQUabQu_ym0Zz7PgGX0-kHA/edit?usp=sharing"",""แผน!HI57"")"),17)</f>
        <v>17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146945</v>
      </c>
      <c r="M629" s="195">
        <f t="shared" ca="1" si="263"/>
        <v>146945</v>
      </c>
      <c r="N629" s="195">
        <f t="shared" si="263"/>
        <v>64580</v>
      </c>
      <c r="O629" s="195">
        <f t="shared" ref="O629:O634" ca="1" si="264">IF(L629&gt;0,N629*100/L629,0)</f>
        <v>43.948416074041305</v>
      </c>
      <c r="P629" s="195">
        <f t="shared" ref="P629:P634" ca="1" si="265">IF(M629&gt;0,N629*100/M629,0)</f>
        <v>43.948416074041305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146945</v>
      </c>
      <c r="M631" s="93">
        <f t="shared" ca="1" si="266"/>
        <v>146945</v>
      </c>
      <c r="N631" s="93">
        <f t="shared" si="266"/>
        <v>64580</v>
      </c>
      <c r="O631" s="93">
        <f t="shared" ca="1" si="264"/>
        <v>43.948416074041305</v>
      </c>
      <c r="P631" s="93">
        <f t="shared" ca="1" si="265"/>
        <v>43.948416074041305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146945</v>
      </c>
      <c r="M632" s="497">
        <f t="shared" ca="1" si="267"/>
        <v>146945</v>
      </c>
      <c r="N632" s="497">
        <f t="shared" si="267"/>
        <v>64580</v>
      </c>
      <c r="O632" s="497">
        <f t="shared" ca="1" si="264"/>
        <v>43.948416074041305</v>
      </c>
      <c r="P632" s="497">
        <f t="shared" ca="1" si="265"/>
        <v>43.948416074041305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IFERROR(__xludf.DUMMYFUNCTION("IMPORTRANGE(""https://docs.google.com/spreadsheets/d/1QqKyyYR6Q21VydFLVH3TRQUabQu_ym0Zz7PgGX0-kHA/edit?usp=sharing"",""แผน!HN57"")"),146945)</f>
        <v>146945</v>
      </c>
      <c r="M634" s="93">
        <f ca="1">L634</f>
        <v>146945</v>
      </c>
      <c r="N634" s="93">
        <f>N635+N636+N637+N638</f>
        <v>64580</v>
      </c>
      <c r="O634" s="93">
        <f t="shared" ca="1" si="264"/>
        <v>43.948416074041305</v>
      </c>
      <c r="P634" s="93">
        <f t="shared" ca="1" si="265"/>
        <v>43.948416074041305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f>4155+15000+17150</f>
        <v>36305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28275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IFERROR(__xludf.DUMMYFUNCTION("IMPORTRANGE(""https://docs.google.com/spreadsheets/d/1QqKyyYR6Q21VydFLVH3TRQUabQu_ym0Zz7PgGX0-kHA/edit?usp=sharing"",""แผน!HR57"")"),0)</f>
        <v>0</v>
      </c>
      <c r="J644" s="215">
        <v>1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IFERROR(__xludf.DUMMYFUNCTION("IMPORTRANGE(""https://docs.google.com/spreadsheets/d/1XWAQStnk-4SwqDmLtmXYiTMKHgktTP8We1SCoS47DrQ/edit?usp=sharing"",""จัดที่ดิน!AS57"")"),3)</f>
        <v>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IFERROR(__xludf.DUMMYFUNCTION("IMPORTRANGE(""https://docs.google.com/spreadsheets/d/1XWAQStnk-4SwqDmLtmXYiTMKHgktTP8We1SCoS47DrQ/edit?usp=sharing"",""จัดที่ดิน!AT57"")"),1.39)</f>
        <v>1.39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IFERROR(__xludf.DUMMYFUNCTION("IMPORTRANGE(""https://docs.google.com/spreadsheets/d/1QqKyyYR6Q21VydFLVH3TRQUabQu_ym0Zz7PgGX0-kHA/edit?usp=sharing"",""แผน!HS57"")"),6)</f>
        <v>6</v>
      </c>
      <c r="J647" s="270">
        <f ca="1">IFERROR(__xludf.DUMMYFUNCTION("IMPORTRANGE(""https://docs.google.com/spreadsheets/d/1XWAQStnk-4SwqDmLtmXYiTMKHgktTP8We1SCoS47DrQ/edit?usp=sharing"",""จัดที่ดิน!AU57"")"),10)</f>
        <v>10</v>
      </c>
      <c r="K647" s="163">
        <f t="shared" ca="1" si="271"/>
        <v>166.66666666666666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IFERROR(__xludf.DUMMYFUNCTION("IMPORTRANGE(""https://docs.google.com/spreadsheets/d/1XWAQStnk-4SwqDmLtmXYiTMKHgktTP8We1SCoS47DrQ/edit?usp=sharing"",""จัดที่ดิน!AV57"")"),6.9)</f>
        <v>6.9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IFERROR(__xludf.DUMMYFUNCTION("IMPORTRANGE(""https://docs.google.com/spreadsheets/d/1QqKyyYR6Q21VydFLVH3TRQUabQu_ym0Zz7PgGX0-kHA/edit?usp=sharing"",""แผน!HS57"")"),6)</f>
        <v>6</v>
      </c>
      <c r="J649" s="270">
        <f ca="1">IFERROR(__xludf.DUMMYFUNCTION("IMPORTRANGE(""https://docs.google.com/spreadsheets/d/1XWAQStnk-4SwqDmLtmXYiTMKHgktTP8We1SCoS47DrQ/edit?usp=sharing"",""จัดที่ดิน!AW57"")"),8)</f>
        <v>8</v>
      </c>
      <c r="K649" s="163">
        <f t="shared" ca="1" si="271"/>
        <v>133.33333333333334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IFERROR(__xludf.DUMMYFUNCTION("IMPORTRANGE(""https://docs.google.com/spreadsheets/d/1XWAQStnk-4SwqDmLtmXYiTMKHgktTP8We1SCoS47DrQ/edit?usp=sharing"",""จัดที่ดิน!AX57"")"),5.07)</f>
        <v>5.07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IFERROR(__xludf.DUMMYFUNCTION("IMPORTRANGE(""https://docs.google.com/spreadsheets/d/1QqKyyYR6Q21VydFLVH3TRQUabQu_ym0Zz7PgGX0-kHA/edit?usp=sharing"",""แผน!HS57"")"),6)</f>
        <v>6</v>
      </c>
      <c r="J651" s="270">
        <f ca="1">IFERROR(__xludf.DUMMYFUNCTION("IMPORTRANGE(""https://docs.google.com/spreadsheets/d/1XWAQStnk-4SwqDmLtmXYiTMKHgktTP8We1SCoS47DrQ/edit?usp=sharing"",""จัดที่ดิน!AY57"")"),0)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1840</v>
      </c>
      <c r="O655" s="195">
        <f t="shared" ref="O655:O660" ca="1" si="274">IF(L655&gt;0,N655*100/L655,0)</f>
        <v>19.574468085106382</v>
      </c>
      <c r="P655" s="195">
        <f t="shared" ref="P655:P660" ca="1" si="275">IF(M655&gt;0,N655*100/M655,0)</f>
        <v>19.574468085106382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1840</v>
      </c>
      <c r="O657" s="93">
        <f t="shared" ca="1" si="274"/>
        <v>19.574468085106382</v>
      </c>
      <c r="P657" s="93">
        <f t="shared" ca="1" si="275"/>
        <v>19.574468085106382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1840</v>
      </c>
      <c r="O658" s="497">
        <f t="shared" ca="1" si="274"/>
        <v>19.574468085106382</v>
      </c>
      <c r="P658" s="497">
        <f t="shared" ca="1" si="275"/>
        <v>19.574468085106382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IFERROR(__xludf.DUMMYFUNCTION("IMPORTRANGE(""https://docs.google.com/spreadsheets/d/1QqKyyYR6Q21VydFLVH3TRQUabQu_ym0Zz7PgGX0-kHA/edit?usp=sharing"",""แผน!HV57"")"),9400)</f>
        <v>9400</v>
      </c>
      <c r="M660" s="93">
        <f ca="1">L660</f>
        <v>9400</v>
      </c>
      <c r="N660" s="93">
        <f>N661+N662+N663+N664</f>
        <v>1840</v>
      </c>
      <c r="O660" s="93">
        <f t="shared" ca="1" si="274"/>
        <v>19.574468085106382</v>
      </c>
      <c r="P660" s="93">
        <f t="shared" ca="1" si="275"/>
        <v>19.574468085106382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1840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IFERROR(__xludf.DUMMYFUNCTION("IMPORTRANGE(""https://docs.google.com/spreadsheets/d/1QqKyyYR6Q21VydFLVH3TRQUabQu_ym0Zz7PgGX0-kHA/edit?usp=sharing"",""แผน!IA57"")"),50)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IFERROR(__xludf.DUMMYFUNCTION("IMPORTRANGE(""https://docs.google.com/spreadsheets/d/1QqKyyYR6Q21VydFLVH3TRQUabQu_ym0Zz7PgGX0-kHA/edit?usp=sharing"",""แผน!HZ57"")"),4)</f>
        <v>4</v>
      </c>
      <c r="J670" s="215">
        <v>8</v>
      </c>
      <c r="K670" s="497">
        <f ca="1">IF(I670&gt;0,(J670*100)/I670,0)</f>
        <v>200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IFERROR(__xludf.DUMMYFUNCTION("IMPORTRANGE(""https://docs.google.com/spreadsheets/d/1QqKyyYR6Q21VydFLVH3TRQUabQu_ym0Zz7PgGX0-kHA/edit?usp=sharing"",""แผน!HZ57"")"),4)</f>
        <v>4</v>
      </c>
      <c r="J671" s="215">
        <v>8</v>
      </c>
      <c r="K671" s="497">
        <f ca="1">IF(I$671&gt;0,J671*100/I$671,0)</f>
        <v>200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209</v>
      </c>
      <c r="K672" s="497">
        <f t="shared" ref="K672:K675" ca="1" si="281">IF(I$669&gt;0,J672*100/I$669,0)</f>
        <v>418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209</v>
      </c>
      <c r="K673" s="497">
        <f t="shared" ca="1" si="281"/>
        <v>418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11040</v>
      </c>
      <c r="M685" s="195">
        <f t="shared" ca="1" si="282"/>
        <v>11040</v>
      </c>
      <c r="N685" s="195">
        <f t="shared" si="282"/>
        <v>4720</v>
      </c>
      <c r="O685" s="195">
        <f t="shared" ref="O685:O688" ca="1" si="283">IF(L685&gt;0,N685*100/L685,0)</f>
        <v>42.753623188405797</v>
      </c>
      <c r="P685" s="195">
        <f t="shared" ref="P685:P688" ca="1" si="284">IF(M685&gt;0,N685*100/M685,0)</f>
        <v>42.753623188405797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11040</v>
      </c>
      <c r="M687" s="93">
        <f t="shared" ca="1" si="285"/>
        <v>11040</v>
      </c>
      <c r="N687" s="93">
        <f t="shared" si="285"/>
        <v>4720</v>
      </c>
      <c r="O687" s="93">
        <f t="shared" ca="1" si="283"/>
        <v>42.753623188405797</v>
      </c>
      <c r="P687" s="93">
        <f t="shared" ca="1" si="284"/>
        <v>42.753623188405797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11040</v>
      </c>
      <c r="M688" s="497">
        <f t="shared" ca="1" si="286"/>
        <v>11040</v>
      </c>
      <c r="N688" s="497">
        <f t="shared" si="286"/>
        <v>4720</v>
      </c>
      <c r="O688" s="497">
        <f t="shared" ca="1" si="283"/>
        <v>42.753623188405797</v>
      </c>
      <c r="P688" s="497">
        <f t="shared" ca="1" si="284"/>
        <v>42.753623188405797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IFERROR(__xludf.DUMMYFUNCTION("IMPORTRANGE(""https://docs.google.com/spreadsheets/d/1QqKyyYR6Q21VydFLVH3TRQUabQu_ym0Zz7PgGX0-kHA/edit?usp=sharing"",""แผน!HW57"")"),11040)</f>
        <v>11040</v>
      </c>
      <c r="M690" s="93">
        <f ca="1">L690</f>
        <v>11040</v>
      </c>
      <c r="N690" s="93">
        <f>N691+N692+N693+N694</f>
        <v>4720</v>
      </c>
      <c r="O690" s="93">
        <f ca="1">IF(L690&gt;0,N690*100/L690,0)</f>
        <v>42.753623188405797</v>
      </c>
      <c r="P690" s="93">
        <f ca="1">IF(M690&gt;0,N690*100/M690,0)</f>
        <v>42.753623188405797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4720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IFERROR(__xludf.DUMMYFUNCTION("IMPORTRANGE(""https://docs.google.com/spreadsheets/d/1QqKyyYR6Q21VydFLVH3TRQUabQu_ym0Zz7PgGX0-kHA/edit?usp=sharing"",""แผน!IC57"")"),25)</f>
        <v>25</v>
      </c>
      <c r="J699" s="270">
        <f ca="1">IFERROR(__xludf.DUMMYFUNCTION("IMPORTRANGE(""https://docs.google.com/spreadsheets/d/1XWAQStnk-4SwqDmLtmXYiTMKHgktTP8We1SCoS47DrQ/edit?usp=sharing"",""จัดที่ดิน!BB57"")"),25.2)</f>
        <v>25.2</v>
      </c>
      <c r="K699" s="497">
        <f t="shared" ref="K699:K701" ca="1" si="290">IF(I699&gt;0,J699*100/I699,0)</f>
        <v>100.8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IFERROR(__xludf.DUMMYFUNCTION("IMPORTRANGE(""https://docs.google.com/spreadsheets/d/1QqKyyYR6Q21VydFLVH3TRQUabQu_ym0Zz7PgGX0-kHA/edit?usp=sharing"",""แผน!ID57"")"),5)</f>
        <v>5</v>
      </c>
      <c r="J700" s="270">
        <f ca="1">IFERROR(__xludf.DUMMYFUNCTION("IMPORTRANGE(""https://docs.google.com/spreadsheets/d/1XWAQStnk-4SwqDmLtmXYiTMKHgktTP8We1SCoS47DrQ/edit?usp=sharing"",""จัดที่ดิน!BD57"")"),1)</f>
        <v>1</v>
      </c>
      <c r="K700" s="497">
        <f t="shared" ca="1" si="290"/>
        <v>20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IFERROR(__xludf.DUMMYFUNCTION("IMPORTRANGE(""https://docs.google.com/spreadsheets/d/1QqKyyYR6Q21VydFLVH3TRQUabQu_ym0Zz7PgGX0-kHA/edit?usp=sharing"",""แผน!IE57"")"),70)</f>
        <v>70</v>
      </c>
      <c r="J701" s="676">
        <f>J704+J707</f>
        <v>129</v>
      </c>
      <c r="K701" s="195">
        <f t="shared" ca="1" si="290"/>
        <v>184.28571428571428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5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IFERROR(__xludf.DUMMYFUNCTION("IMPORTRANGE(""https://docs.google.com/spreadsheets/d/1QqKyyYR6Q21VydFLVH3TRQUabQu_ym0Zz7PgGX0-kHA/edit?usp=sharing"",""แผน!IF57"")"),40)</f>
        <v>40</v>
      </c>
      <c r="J704" s="215">
        <v>84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2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2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IFERROR(__xludf.DUMMYFUNCTION("IMPORTRANGE(""https://docs.google.com/spreadsheets/d/1QqKyyYR6Q21VydFLVH3TRQUabQu_ym0Zz7PgGX0-kHA/edit?usp=sharing"",""แผน!IG57"")"),30)</f>
        <v>30</v>
      </c>
      <c r="J707" s="215">
        <v>45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IFERROR(__xludf.DUMMYFUNCTION("IMPORTRANGE(""https://docs.google.com/spreadsheets/d/1QqKyyYR6Q21VydFLVH3TRQUabQu_ym0Zz7PgGX0-kHA/edit?usp=sharing"",""แผน!IH57"")"),60)</f>
        <v>60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IFERROR(__xludf.DUMMYFUNCTION("IMPORTRANGE(""https://docs.google.com/spreadsheets/d/1QqKyyYR6Q21VydFLVH3TRQUabQu_ym0Zz7PgGX0-kHA/edit?usp=sharing"",""แผน!II57"")"),50)</f>
        <v>50</v>
      </c>
      <c r="J720" s="270">
        <f ca="1">IFERROR(__xludf.DUMMYFUNCTION("IMPORTRANGE(""https://docs.google.com/spreadsheets/d/1XWAQStnk-4SwqDmLtmXYiTMKHgktTP8We1SCoS47DrQ/edit?usp=sharing"",""จัดที่ดิน!BH57"")"),0)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IFERROR(__xludf.DUMMYFUNCTION("IMPORTRANGE(""https://docs.google.com/spreadsheets/d/1QqKyyYR6Q21VydFLVH3TRQUabQu_ym0Zz7PgGX0-kHA/edit?usp=sharing"",""แผน!IJ57"")"),5)</f>
        <v>5</v>
      </c>
      <c r="J721" s="676">
        <f ca="1">J723+J726</f>
        <v>4</v>
      </c>
      <c r="K721" s="195">
        <f t="shared" ca="1" si="291"/>
        <v>80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IFERROR(__xludf.DUMMYFUNCTION("IMPORTRANGE(""https://docs.google.com/spreadsheets/d/1QqKyyYR6Q21VydFLVH3TRQUabQu_ym0Zz7PgGX0-kHA/edit?usp=sharing"",""แผน!IK57"")"),100)</f>
        <v>100</v>
      </c>
      <c r="J722" s="676">
        <f ca="1">J725+J728</f>
        <v>103.44</v>
      </c>
      <c r="K722" s="195">
        <f t="shared" ca="1" si="291"/>
        <v>103.44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IFERROR(__xludf.DUMMYFUNCTION("IMPORTRANGE(""https://docs.google.com/spreadsheets/d/1QqKyyYR6Q21VydFLVH3TRQUabQu_ym0Zz7PgGX0-kHA/edit?usp=sharing"",""แผน!IL57"")"),5)</f>
        <v>5</v>
      </c>
      <c r="J723" s="270">
        <f ca="1">IFERROR(__xludf.DUMMYFUNCTION("IMPORTRANGE(""https://docs.google.com/spreadsheets/d/1XWAQStnk-4SwqDmLtmXYiTMKHgktTP8We1SCoS47DrQ/edit?usp=sharing"",""จัดที่ดิน!BM57"")"),4)</f>
        <v>4</v>
      </c>
      <c r="K723" s="497">
        <f t="shared" ca="1" si="291"/>
        <v>80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IFERROR(__xludf.DUMMYFUNCTION("IMPORTRANGE(""https://docs.google.com/spreadsheets/d/1XWAQStnk-4SwqDmLtmXYiTMKHgktTP8We1SCoS47DrQ/edit?usp=sharing"",""จัดที่ดิน!BN57"")"),4)</f>
        <v>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IFERROR(__xludf.DUMMYFUNCTION("IMPORTRANGE(""https://docs.google.com/spreadsheets/d/1QqKyyYR6Q21VydFLVH3TRQUabQu_ym0Zz7PgGX0-kHA/edit?usp=sharing"",""แผน!IM57"")"),100)</f>
        <v>100</v>
      </c>
      <c r="J725" s="270">
        <f ca="1">IFERROR(__xludf.DUMMYFUNCTION("IMPORTRANGE(""https://docs.google.com/spreadsheets/d/1XWAQStnk-4SwqDmLtmXYiTMKHgktTP8We1SCoS47DrQ/edit?usp=sharing"",""จัดที่ดิน!BO57"")"),103.44)</f>
        <v>103.44</v>
      </c>
      <c r="K725" s="497">
        <f t="shared" ref="K725:K726" ca="1" si="292">IF(I725&gt;0,J725*100/I725,0)</f>
        <v>103.44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IFERROR(__xludf.DUMMYFUNCTION("IMPORTRANGE(""https://docs.google.com/spreadsheets/d/1QqKyyYR6Q21VydFLVH3TRQUabQu_ym0Zz7PgGX0-kHA/edit?usp=sharing"",""แผน!IN57"")"),0)</f>
        <v>0</v>
      </c>
      <c r="J726" s="270">
        <f ca="1">IFERROR(__xludf.DUMMYFUNCTION("IMPORTRANGE(""https://docs.google.com/spreadsheets/d/1XWAQStnk-4SwqDmLtmXYiTMKHgktTP8We1SCoS47DrQ/edit?usp=sharing"",""จัดที่ดิน!BR57"")"),0)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IFERROR(__xludf.DUMMYFUNCTION("IMPORTRANGE(""https://docs.google.com/spreadsheets/d/1QqKyyYR6Q21VydFLVH3TRQUabQu_ym0Zz7PgGX0-kHA/edit?usp=sharing"",""แผน!IO57"")"),0)</f>
        <v>0</v>
      </c>
      <c r="J728" s="270">
        <f ca="1">IFERROR(__xludf.DUMMYFUNCTION("IMPORTRANGE(""https://docs.google.com/spreadsheets/d/1XWAQStnk-4SwqDmLtmXYiTMKHgktTP8We1SCoS47DrQ/edit?usp=sharing"",""จัดที่ดิน!BT57"")"),0)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IFERROR(__xludf.DUMMYFUNCTION("IMPORTRANGE(""https://docs.google.com/spreadsheets/d/1QqKyyYR6Q21VydFLVH3TRQUabQu_ym0Zz7PgGX0-kHA/edit?usp=sharing"",""แผน!JN57"")"),0)</f>
        <v>0</v>
      </c>
      <c r="J800" s="184">
        <f ca="1">IFERROR(__xludf.DUMMYFUNCTION("IMPORTRANGE(""https://docs.google.com/spreadsheets/d/1MaWodYyGHDf7siQLGxnXhG4mBNTNIuy296niS2xXulU/edit?usp=sharing"",""RTK!H57"")"),0)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70">
        <f ca="1">IFERROR(__xludf.DUMMYFUNCTION("IMPORTRANGE(""https://docs.google.com/spreadsheets/d/19vJNZY_5yjcGF2XGBMNZRCAIB0Kwfpjp8YEOfu-bneM/edit?usp=sharing"",""งานกองทุน!F57"")"),2933160.27)</f>
        <v>2933160.27</v>
      </c>
      <c r="K821" s="497">
        <f t="shared" ref="K821:K828" ca="1" si="335">IF(I821&gt;0,J821*100/I821,0)</f>
        <v>69.036299609491479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IFERROR(__xludf.DUMMYFUNCTION("IMPORTRANGE(""https://docs.google.com/spreadsheets/d/19vJNZY_5yjcGF2XGBMNZRCAIB0Kwfpjp8YEOfu-bneM/edit?usp=sharing"",""งานกองทุน!C57"")"),246)</f>
        <v>246</v>
      </c>
      <c r="J822" s="270">
        <f ca="1">IFERROR(__xludf.DUMMYFUNCTION("IMPORTRANGE(""https://docs.google.com/spreadsheets/d/19vJNZY_5yjcGF2XGBMNZRCAIB0Kwfpjp8YEOfu-bneM/edit?usp=sharing"",""งานกองทุน!E57"")"),174)</f>
        <v>174</v>
      </c>
      <c r="K822" s="497">
        <f t="shared" ca="1" si="335"/>
        <v>70.731707317073173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70">
        <f ca="1">IFERROR(__xludf.DUMMYFUNCTION("IMPORTRANGE(""https://docs.google.com/spreadsheets/d/19vJNZY_5yjcGF2XGBMNZRCAIB0Kwfpjp8YEOfu-bneM/edit?usp=sharing"",""งานกองทุน!K57"")"),677531.39)</f>
        <v>677531.39</v>
      </c>
      <c r="K823" s="497">
        <f t="shared" ca="1" si="335"/>
        <v>13.453784445910619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IFERROR(__xludf.DUMMYFUNCTION("IMPORTRANGE(""https://docs.google.com/spreadsheets/d/19vJNZY_5yjcGF2XGBMNZRCAIB0Kwfpjp8YEOfu-bneM/edit?usp=sharing"",""งานกองทุน!H57"")"),234)</f>
        <v>234</v>
      </c>
      <c r="J824" s="270">
        <f ca="1">IFERROR(__xludf.DUMMYFUNCTION("IMPORTRANGE(""https://docs.google.com/spreadsheets/d/19vJNZY_5yjcGF2XGBMNZRCAIB0Kwfpjp8YEOfu-bneM/edit?usp=sharing"",""งานกองทุน!J57"")"),102)</f>
        <v>102</v>
      </c>
      <c r="K824" s="497">
        <f t="shared" ca="1" si="335"/>
        <v>43.589743589743591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70">
        <f ca="1">IFERROR(__xludf.DUMMYFUNCTION("IMPORTRANGE(""https://docs.google.com/spreadsheets/d/19vJNZY_5yjcGF2XGBMNZRCAIB0Kwfpjp8YEOfu-bneM/edit?usp=sharing"",""งานกองทุน!P57"")"),2245200.49)</f>
        <v>2245200.4900000002</v>
      </c>
      <c r="K825" s="497">
        <f t="shared" ca="1" si="335"/>
        <v>21.503880426191454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IFERROR(__xludf.DUMMYFUNCTION("IMPORTRANGE(""https://docs.google.com/spreadsheets/d/19vJNZY_5yjcGF2XGBMNZRCAIB0Kwfpjp8YEOfu-bneM/edit?usp=sharing"",""งานกองทุน!M57"")"),330)</f>
        <v>330</v>
      </c>
      <c r="J826" s="270">
        <f ca="1">IFERROR(__xludf.DUMMYFUNCTION("IMPORTRANGE(""https://docs.google.com/spreadsheets/d/19vJNZY_5yjcGF2XGBMNZRCAIB0Kwfpjp8YEOfu-bneM/edit?usp=sharing"",""งานกองทุน!O57"")"),176)</f>
        <v>176</v>
      </c>
      <c r="K826" s="497">
        <f t="shared" ca="1" si="335"/>
        <v>53.333333333333336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IFERROR(__xludf.DUMMYFUNCTION("IMPORTRANGE(""https://docs.google.com/spreadsheets/d/19vJNZY_5yjcGF2XGBMNZRCAIB0Kwfpjp8YEOfu-bneM/edit?usp=sharing"",""งานกองทุน!S57"")"),3350000)</f>
        <v>3350000</v>
      </c>
      <c r="J827" s="270">
        <f ca="1">IFERROR(__xludf.DUMMYFUNCTION("IMPORTRANGE(""https://docs.google.com/spreadsheets/d/19vJNZY_5yjcGF2XGBMNZRCAIB0Kwfpjp8YEOfu-bneM/edit?usp=sharing"",""งานกองทุน!U57"")"),3330000)</f>
        <v>3330000</v>
      </c>
      <c r="K827" s="497">
        <f t="shared" ca="1" si="335"/>
        <v>99.402985074626869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IFERROR(__xludf.DUMMYFUNCTION("IMPORTRANGE(""https://docs.google.com/spreadsheets/d/19vJNZY_5yjcGF2XGBMNZRCAIB0Kwfpjp8YEOfu-bneM/edit?usp=sharing"",""งานกองทุน!R57"")"),134)</f>
        <v>134</v>
      </c>
      <c r="J828" s="501">
        <f ca="1">IFERROR(__xludf.DUMMYFUNCTION("IMPORTRANGE(""https://docs.google.com/spreadsheets/d/19vJNZY_5yjcGF2XGBMNZRCAIB0Kwfpjp8YEOfu-bneM/edit?usp=sharing"",""งานกองทุน!T57"")"),81)</f>
        <v>81</v>
      </c>
      <c r="K828" s="502">
        <f t="shared" ca="1" si="335"/>
        <v>60.447761194029852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896"/>
      <c r="E829" s="677"/>
      <c r="F829" s="677"/>
      <c r="G829" s="677"/>
      <c r="H829" s="897"/>
      <c r="I829" s="898"/>
      <c r="J829" s="898"/>
      <c r="K829" s="899"/>
      <c r="L829" s="899"/>
      <c r="M829" s="899"/>
      <c r="N829" s="899"/>
      <c r="O829" s="899"/>
      <c r="P829" s="899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896"/>
      <c r="E830" s="677"/>
      <c r="F830" s="677"/>
      <c r="G830" s="677"/>
      <c r="H830" s="897"/>
      <c r="I830" s="898"/>
      <c r="J830" s="898"/>
      <c r="K830" s="899"/>
      <c r="L830" s="899"/>
      <c r="M830" s="899"/>
      <c r="N830" s="899"/>
      <c r="O830" s="899"/>
      <c r="P830" s="899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896"/>
      <c r="E831" s="677"/>
      <c r="F831" s="677"/>
      <c r="G831" s="677"/>
      <c r="H831" s="897"/>
      <c r="I831" s="898"/>
      <c r="J831" s="898"/>
      <c r="K831" s="899"/>
      <c r="L831" s="899"/>
      <c r="M831" s="899"/>
      <c r="N831" s="899"/>
      <c r="O831" s="899"/>
      <c r="P831" s="899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896"/>
      <c r="E832" s="677"/>
      <c r="F832" s="677"/>
      <c r="G832" s="677"/>
      <c r="H832" s="897"/>
      <c r="I832" s="898"/>
      <c r="J832" s="898"/>
      <c r="K832" s="899"/>
      <c r="L832" s="899"/>
      <c r="M832" s="899"/>
      <c r="N832" s="899"/>
      <c r="O832" s="899"/>
      <c r="P832" s="899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896"/>
      <c r="E833" s="677"/>
      <c r="F833" s="677"/>
      <c r="G833" s="677"/>
      <c r="H833" s="897"/>
      <c r="I833" s="898"/>
      <c r="J833" s="898"/>
      <c r="K833" s="899"/>
      <c r="L833" s="899"/>
      <c r="M833" s="899"/>
      <c r="N833" s="899"/>
      <c r="O833" s="899"/>
      <c r="P833" s="899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896"/>
      <c r="E834" s="677"/>
      <c r="F834" s="677"/>
      <c r="G834" s="677"/>
      <c r="H834" s="897"/>
      <c r="I834" s="898"/>
      <c r="J834" s="898"/>
      <c r="K834" s="899"/>
      <c r="L834" s="899"/>
      <c r="M834" s="899"/>
      <c r="N834" s="899"/>
      <c r="O834" s="899"/>
      <c r="P834" s="899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896"/>
      <c r="E835" s="677"/>
      <c r="F835" s="677"/>
      <c r="G835" s="677"/>
      <c r="H835" s="897"/>
      <c r="I835" s="898"/>
      <c r="J835" s="898"/>
      <c r="K835" s="899"/>
      <c r="L835" s="899"/>
      <c r="M835" s="899"/>
      <c r="N835" s="899"/>
      <c r="O835" s="899"/>
      <c r="P835" s="899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896"/>
      <c r="E836" s="677"/>
      <c r="F836" s="677"/>
      <c r="G836" s="677"/>
      <c r="H836" s="897"/>
      <c r="I836" s="898"/>
      <c r="J836" s="898"/>
      <c r="K836" s="899"/>
      <c r="L836" s="899"/>
      <c r="M836" s="899"/>
      <c r="N836" s="899"/>
      <c r="O836" s="899"/>
      <c r="P836" s="899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896"/>
      <c r="E837" s="677"/>
      <c r="F837" s="677"/>
      <c r="G837" s="677"/>
      <c r="H837" s="897"/>
      <c r="I837" s="898"/>
      <c r="J837" s="898"/>
      <c r="K837" s="899"/>
      <c r="L837" s="899"/>
      <c r="M837" s="899"/>
      <c r="N837" s="899"/>
      <c r="O837" s="899"/>
      <c r="P837" s="899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896"/>
      <c r="E838" s="677"/>
      <c r="F838" s="677"/>
      <c r="G838" s="677"/>
      <c r="H838" s="897"/>
      <c r="I838" s="898"/>
      <c r="J838" s="898"/>
      <c r="K838" s="899"/>
      <c r="L838" s="899"/>
      <c r="M838" s="899"/>
      <c r="N838" s="899"/>
      <c r="O838" s="899"/>
      <c r="P838" s="899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896"/>
      <c r="E839" s="677"/>
      <c r="F839" s="677"/>
      <c r="G839" s="677"/>
      <c r="H839" s="897"/>
      <c r="I839" s="898"/>
      <c r="J839" s="898"/>
      <c r="K839" s="899"/>
      <c r="L839" s="899"/>
      <c r="M839" s="899"/>
      <c r="N839" s="899"/>
      <c r="O839" s="899"/>
      <c r="P839" s="899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896"/>
      <c r="E840" s="677"/>
      <c r="F840" s="677"/>
      <c r="G840" s="677"/>
      <c r="H840" s="897"/>
      <c r="I840" s="898"/>
      <c r="J840" s="898"/>
      <c r="K840" s="899"/>
      <c r="L840" s="899"/>
      <c r="M840" s="899"/>
      <c r="N840" s="899"/>
      <c r="O840" s="899"/>
      <c r="P840" s="899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896"/>
      <c r="E841" s="677"/>
      <c r="F841" s="677"/>
      <c r="G841" s="677"/>
      <c r="H841" s="897"/>
      <c r="I841" s="898"/>
      <c r="J841" s="898"/>
      <c r="K841" s="899"/>
      <c r="L841" s="899"/>
      <c r="M841" s="899"/>
      <c r="N841" s="899"/>
      <c r="O841" s="899"/>
      <c r="P841" s="899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896"/>
      <c r="E842" s="677"/>
      <c r="F842" s="677"/>
      <c r="G842" s="677"/>
      <c r="H842" s="897"/>
      <c r="I842" s="898"/>
      <c r="J842" s="898"/>
      <c r="K842" s="899"/>
      <c r="L842" s="899"/>
      <c r="M842" s="899"/>
      <c r="N842" s="899"/>
      <c r="O842" s="899"/>
      <c r="P842" s="899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896"/>
      <c r="E843" s="677"/>
      <c r="F843" s="677"/>
      <c r="G843" s="677"/>
      <c r="H843" s="897"/>
      <c r="I843" s="898"/>
      <c r="J843" s="898"/>
      <c r="K843" s="899"/>
      <c r="L843" s="899"/>
      <c r="M843" s="899"/>
      <c r="N843" s="899"/>
      <c r="O843" s="899"/>
      <c r="P843" s="899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896"/>
      <c r="E844" s="677"/>
      <c r="F844" s="677"/>
      <c r="G844" s="677"/>
      <c r="H844" s="897"/>
      <c r="I844" s="898"/>
      <c r="J844" s="898"/>
      <c r="K844" s="899"/>
      <c r="L844" s="899"/>
      <c r="M844" s="899"/>
      <c r="N844" s="899"/>
      <c r="O844" s="899"/>
      <c r="P844" s="899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896"/>
      <c r="E845" s="677"/>
      <c r="F845" s="677"/>
      <c r="G845" s="677"/>
      <c r="H845" s="897"/>
      <c r="I845" s="898"/>
      <c r="J845" s="898"/>
      <c r="K845" s="899"/>
      <c r="L845" s="899"/>
      <c r="M845" s="899"/>
      <c r="N845" s="899"/>
      <c r="O845" s="899"/>
      <c r="P845" s="899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896"/>
      <c r="E846" s="677"/>
      <c r="F846" s="677"/>
      <c r="G846" s="677"/>
      <c r="H846" s="897"/>
      <c r="I846" s="898"/>
      <c r="J846" s="898"/>
      <c r="K846" s="899"/>
      <c r="L846" s="899"/>
      <c r="M846" s="899"/>
      <c r="N846" s="899"/>
      <c r="O846" s="899"/>
      <c r="P846" s="899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896"/>
      <c r="E847" s="677"/>
      <c r="F847" s="677"/>
      <c r="G847" s="677"/>
      <c r="H847" s="897"/>
      <c r="I847" s="898"/>
      <c r="J847" s="898"/>
      <c r="K847" s="899"/>
      <c r="L847" s="899"/>
      <c r="M847" s="899"/>
      <c r="N847" s="899"/>
      <c r="O847" s="899"/>
      <c r="P847" s="899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896"/>
      <c r="E848" s="677"/>
      <c r="F848" s="677"/>
      <c r="G848" s="677"/>
      <c r="H848" s="897"/>
      <c r="I848" s="898"/>
      <c r="J848" s="898"/>
      <c r="K848" s="899"/>
      <c r="L848" s="899"/>
      <c r="M848" s="899"/>
      <c r="N848" s="899"/>
      <c r="O848" s="899"/>
      <c r="P848" s="899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896"/>
      <c r="E849" s="677"/>
      <c r="F849" s="677"/>
      <c r="G849" s="677"/>
      <c r="H849" s="897"/>
      <c r="I849" s="898"/>
      <c r="J849" s="898"/>
      <c r="K849" s="899"/>
      <c r="L849" s="899"/>
      <c r="M849" s="899"/>
      <c r="N849" s="899"/>
      <c r="O849" s="899"/>
      <c r="P849" s="899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896"/>
      <c r="E850" s="677"/>
      <c r="F850" s="677"/>
      <c r="G850" s="677"/>
      <c r="H850" s="897"/>
      <c r="I850" s="898"/>
      <c r="J850" s="898"/>
      <c r="K850" s="899"/>
      <c r="L850" s="899"/>
      <c r="M850" s="899"/>
      <c r="N850" s="899"/>
      <c r="O850" s="899"/>
      <c r="P850" s="899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896"/>
      <c r="E851" s="677"/>
      <c r="F851" s="677"/>
      <c r="G851" s="677"/>
      <c r="H851" s="897"/>
      <c r="I851" s="898"/>
      <c r="J851" s="898"/>
      <c r="K851" s="899"/>
      <c r="L851" s="899"/>
      <c r="M851" s="899"/>
      <c r="N851" s="899"/>
      <c r="O851" s="899"/>
      <c r="P851" s="899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896"/>
      <c r="E852" s="677"/>
      <c r="F852" s="677"/>
      <c r="G852" s="677"/>
      <c r="H852" s="897"/>
      <c r="I852" s="898"/>
      <c r="J852" s="898"/>
      <c r="K852" s="899"/>
      <c r="L852" s="899"/>
      <c r="M852" s="899"/>
      <c r="N852" s="899"/>
      <c r="O852" s="899"/>
      <c r="P852" s="899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896"/>
      <c r="E853" s="677"/>
      <c r="F853" s="677"/>
      <c r="G853" s="677"/>
      <c r="H853" s="897"/>
      <c r="I853" s="898"/>
      <c r="J853" s="898"/>
      <c r="K853" s="899"/>
      <c r="L853" s="899"/>
      <c r="M853" s="899"/>
      <c r="N853" s="899"/>
      <c r="O853" s="899"/>
      <c r="P853" s="899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896"/>
      <c r="E854" s="677"/>
      <c r="F854" s="677"/>
      <c r="G854" s="677"/>
      <c r="H854" s="897"/>
      <c r="I854" s="898"/>
      <c r="J854" s="898"/>
      <c r="K854" s="899"/>
      <c r="L854" s="899"/>
      <c r="M854" s="899"/>
      <c r="N854" s="899"/>
      <c r="O854" s="899"/>
      <c r="P854" s="899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896"/>
      <c r="E855" s="677"/>
      <c r="F855" s="677"/>
      <c r="G855" s="677"/>
      <c r="H855" s="897"/>
      <c r="I855" s="898"/>
      <c r="J855" s="898"/>
      <c r="K855" s="899"/>
      <c r="L855" s="899"/>
      <c r="M855" s="899"/>
      <c r="N855" s="899"/>
      <c r="O855" s="899"/>
      <c r="P855" s="899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896"/>
      <c r="E856" s="677"/>
      <c r="F856" s="677"/>
      <c r="G856" s="677"/>
      <c r="H856" s="897"/>
      <c r="I856" s="898"/>
      <c r="J856" s="898"/>
      <c r="K856" s="899"/>
      <c r="L856" s="899"/>
      <c r="M856" s="899"/>
      <c r="N856" s="899"/>
      <c r="O856" s="899"/>
      <c r="P856" s="899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896"/>
      <c r="E857" s="677"/>
      <c r="F857" s="677"/>
      <c r="G857" s="677"/>
      <c r="H857" s="897"/>
      <c r="I857" s="898"/>
      <c r="J857" s="898"/>
      <c r="K857" s="899"/>
      <c r="L857" s="899"/>
      <c r="M857" s="899"/>
      <c r="N857" s="899"/>
      <c r="O857" s="899"/>
      <c r="P857" s="899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896"/>
      <c r="E858" s="677"/>
      <c r="F858" s="677"/>
      <c r="G858" s="677"/>
      <c r="H858" s="897"/>
      <c r="I858" s="898"/>
      <c r="J858" s="898"/>
      <c r="K858" s="899"/>
      <c r="L858" s="899"/>
      <c r="M858" s="899"/>
      <c r="N858" s="899"/>
      <c r="O858" s="899"/>
      <c r="P858" s="899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896"/>
      <c r="E859" s="677"/>
      <c r="F859" s="677"/>
      <c r="G859" s="677"/>
      <c r="H859" s="897"/>
      <c r="I859" s="898"/>
      <c r="J859" s="898"/>
      <c r="K859" s="899"/>
      <c r="L859" s="899"/>
      <c r="M859" s="899"/>
      <c r="N859" s="899"/>
      <c r="O859" s="899"/>
      <c r="P859" s="899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896"/>
      <c r="E860" s="677"/>
      <c r="F860" s="677"/>
      <c r="G860" s="677"/>
      <c r="H860" s="897"/>
      <c r="I860" s="898"/>
      <c r="J860" s="898"/>
      <c r="K860" s="899"/>
      <c r="L860" s="899"/>
      <c r="M860" s="899"/>
      <c r="N860" s="899"/>
      <c r="O860" s="899"/>
      <c r="P860" s="899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896"/>
      <c r="E861" s="677"/>
      <c r="F861" s="677"/>
      <c r="G861" s="677"/>
      <c r="H861" s="897"/>
      <c r="I861" s="898"/>
      <c r="J861" s="898"/>
      <c r="K861" s="899"/>
      <c r="L861" s="899"/>
      <c r="M861" s="899"/>
      <c r="N861" s="899"/>
      <c r="O861" s="899"/>
      <c r="P861" s="899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896"/>
      <c r="E862" s="677"/>
      <c r="F862" s="677"/>
      <c r="G862" s="677"/>
      <c r="H862" s="897"/>
      <c r="I862" s="898"/>
      <c r="J862" s="898"/>
      <c r="K862" s="899"/>
      <c r="L862" s="899"/>
      <c r="M862" s="899"/>
      <c r="N862" s="899"/>
      <c r="O862" s="899"/>
      <c r="P862" s="899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896"/>
      <c r="E863" s="677"/>
      <c r="F863" s="677"/>
      <c r="G863" s="677"/>
      <c r="H863" s="897"/>
      <c r="I863" s="898"/>
      <c r="J863" s="898"/>
      <c r="K863" s="899"/>
      <c r="L863" s="899"/>
      <c r="M863" s="899"/>
      <c r="N863" s="899"/>
      <c r="O863" s="899"/>
      <c r="P863" s="899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896"/>
      <c r="E864" s="677"/>
      <c r="F864" s="677"/>
      <c r="G864" s="677"/>
      <c r="H864" s="897"/>
      <c r="I864" s="898"/>
      <c r="J864" s="898"/>
      <c r="K864" s="899"/>
      <c r="L864" s="899"/>
      <c r="M864" s="899"/>
      <c r="N864" s="899"/>
      <c r="O864" s="899"/>
      <c r="P864" s="899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896"/>
      <c r="E865" s="677"/>
      <c r="F865" s="677"/>
      <c r="G865" s="677"/>
      <c r="H865" s="897"/>
      <c r="I865" s="898"/>
      <c r="J865" s="898"/>
      <c r="K865" s="899"/>
      <c r="L865" s="899"/>
      <c r="M865" s="899"/>
      <c r="N865" s="899"/>
      <c r="O865" s="899"/>
      <c r="P865" s="899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896"/>
      <c r="E866" s="677"/>
      <c r="F866" s="677"/>
      <c r="G866" s="677"/>
      <c r="H866" s="897"/>
      <c r="I866" s="898"/>
      <c r="J866" s="898"/>
      <c r="K866" s="899"/>
      <c r="L866" s="899"/>
      <c r="M866" s="899"/>
      <c r="N866" s="899"/>
      <c r="O866" s="899"/>
      <c r="P866" s="899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896"/>
      <c r="E867" s="677"/>
      <c r="F867" s="677"/>
      <c r="G867" s="677"/>
      <c r="H867" s="897"/>
      <c r="I867" s="898"/>
      <c r="J867" s="898"/>
      <c r="K867" s="899"/>
      <c r="L867" s="899"/>
      <c r="M867" s="899"/>
      <c r="N867" s="899"/>
      <c r="O867" s="899"/>
      <c r="P867" s="899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896"/>
      <c r="E868" s="677"/>
      <c r="F868" s="677"/>
      <c r="G868" s="677"/>
      <c r="H868" s="897"/>
      <c r="I868" s="898"/>
      <c r="J868" s="898"/>
      <c r="K868" s="899"/>
      <c r="L868" s="899"/>
      <c r="M868" s="899"/>
      <c r="N868" s="899"/>
      <c r="O868" s="899"/>
      <c r="P868" s="899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896"/>
      <c r="E869" s="677"/>
      <c r="F869" s="677"/>
      <c r="G869" s="677"/>
      <c r="H869" s="897"/>
      <c r="I869" s="898"/>
      <c r="J869" s="898"/>
      <c r="K869" s="899"/>
      <c r="L869" s="899"/>
      <c r="M869" s="899"/>
      <c r="N869" s="899"/>
      <c r="O869" s="899"/>
      <c r="P869" s="899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896"/>
      <c r="E870" s="677"/>
      <c r="F870" s="677"/>
      <c r="G870" s="677"/>
      <c r="H870" s="897"/>
      <c r="I870" s="898"/>
      <c r="J870" s="898"/>
      <c r="K870" s="899"/>
      <c r="L870" s="899"/>
      <c r="M870" s="899"/>
      <c r="N870" s="899"/>
      <c r="O870" s="899"/>
      <c r="P870" s="899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896"/>
      <c r="E871" s="677"/>
      <c r="F871" s="677"/>
      <c r="G871" s="677"/>
      <c r="H871" s="897"/>
      <c r="I871" s="898"/>
      <c r="J871" s="898"/>
      <c r="K871" s="899"/>
      <c r="L871" s="899"/>
      <c r="M871" s="899"/>
      <c r="N871" s="899"/>
      <c r="O871" s="899"/>
      <c r="P871" s="899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896"/>
      <c r="E872" s="677"/>
      <c r="F872" s="677"/>
      <c r="G872" s="677"/>
      <c r="H872" s="897"/>
      <c r="I872" s="898"/>
      <c r="J872" s="898"/>
      <c r="K872" s="899"/>
      <c r="L872" s="899"/>
      <c r="M872" s="899"/>
      <c r="N872" s="899"/>
      <c r="O872" s="899"/>
      <c r="P872" s="899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896"/>
      <c r="E873" s="677"/>
      <c r="F873" s="677"/>
      <c r="G873" s="677"/>
      <c r="H873" s="897"/>
      <c r="I873" s="898"/>
      <c r="J873" s="898"/>
      <c r="K873" s="899"/>
      <c r="L873" s="899"/>
      <c r="M873" s="899"/>
      <c r="N873" s="899"/>
      <c r="O873" s="899"/>
      <c r="P873" s="899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896"/>
      <c r="E874" s="677"/>
      <c r="F874" s="677"/>
      <c r="G874" s="677"/>
      <c r="H874" s="897"/>
      <c r="I874" s="898"/>
      <c r="J874" s="898"/>
      <c r="K874" s="899"/>
      <c r="L874" s="899"/>
      <c r="M874" s="899"/>
      <c r="N874" s="899"/>
      <c r="O874" s="899"/>
      <c r="P874" s="899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896"/>
      <c r="E875" s="677"/>
      <c r="F875" s="677"/>
      <c r="G875" s="677"/>
      <c r="H875" s="897"/>
      <c r="I875" s="898"/>
      <c r="J875" s="898"/>
      <c r="K875" s="899"/>
      <c r="L875" s="899"/>
      <c r="M875" s="899"/>
      <c r="N875" s="899"/>
      <c r="O875" s="899"/>
      <c r="P875" s="899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896"/>
      <c r="E876" s="677"/>
      <c r="F876" s="677"/>
      <c r="G876" s="677"/>
      <c r="H876" s="897"/>
      <c r="I876" s="898"/>
      <c r="J876" s="898"/>
      <c r="K876" s="899"/>
      <c r="L876" s="899"/>
      <c r="M876" s="899"/>
      <c r="N876" s="899"/>
      <c r="O876" s="899"/>
      <c r="P876" s="899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896"/>
      <c r="E877" s="677"/>
      <c r="F877" s="677"/>
      <c r="G877" s="677"/>
      <c r="H877" s="897"/>
      <c r="I877" s="898"/>
      <c r="J877" s="898"/>
      <c r="K877" s="899"/>
      <c r="L877" s="899"/>
      <c r="M877" s="899"/>
      <c r="N877" s="899"/>
      <c r="O877" s="899"/>
      <c r="P877" s="899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896"/>
      <c r="E878" s="677"/>
      <c r="F878" s="677"/>
      <c r="G878" s="677"/>
      <c r="H878" s="897"/>
      <c r="I878" s="898"/>
      <c r="J878" s="898"/>
      <c r="K878" s="899"/>
      <c r="L878" s="899"/>
      <c r="M878" s="899"/>
      <c r="N878" s="899"/>
      <c r="O878" s="899"/>
      <c r="P878" s="899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896"/>
      <c r="E879" s="677"/>
      <c r="F879" s="677"/>
      <c r="G879" s="677"/>
      <c r="H879" s="897"/>
      <c r="I879" s="898"/>
      <c r="J879" s="898"/>
      <c r="K879" s="899"/>
      <c r="L879" s="899"/>
      <c r="M879" s="899"/>
      <c r="N879" s="899"/>
      <c r="O879" s="899"/>
      <c r="P879" s="899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896"/>
      <c r="E880" s="677"/>
      <c r="F880" s="677"/>
      <c r="G880" s="677"/>
      <c r="H880" s="897"/>
      <c r="I880" s="898"/>
      <c r="J880" s="898"/>
      <c r="K880" s="899"/>
      <c r="L880" s="899"/>
      <c r="M880" s="899"/>
      <c r="N880" s="899"/>
      <c r="O880" s="899"/>
      <c r="P880" s="899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896"/>
      <c r="E881" s="677"/>
      <c r="F881" s="677"/>
      <c r="G881" s="677"/>
      <c r="H881" s="897"/>
      <c r="I881" s="898"/>
      <c r="J881" s="898"/>
      <c r="K881" s="899"/>
      <c r="L881" s="899"/>
      <c r="M881" s="899"/>
      <c r="N881" s="899"/>
      <c r="O881" s="899"/>
      <c r="P881" s="899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896"/>
      <c r="E882" s="677"/>
      <c r="F882" s="677"/>
      <c r="G882" s="677"/>
      <c r="H882" s="897"/>
      <c r="I882" s="898"/>
      <c r="J882" s="898"/>
      <c r="K882" s="899"/>
      <c r="L882" s="899"/>
      <c r="M882" s="899"/>
      <c r="N882" s="899"/>
      <c r="O882" s="899"/>
      <c r="P882" s="899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896"/>
      <c r="E883" s="677"/>
      <c r="F883" s="677"/>
      <c r="G883" s="677"/>
      <c r="H883" s="897"/>
      <c r="I883" s="898"/>
      <c r="J883" s="898"/>
      <c r="K883" s="899"/>
      <c r="L883" s="899"/>
      <c r="M883" s="899"/>
      <c r="N883" s="899"/>
      <c r="O883" s="899"/>
      <c r="P883" s="899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896"/>
      <c r="E884" s="677"/>
      <c r="F884" s="677"/>
      <c r="G884" s="677"/>
      <c r="H884" s="897"/>
      <c r="I884" s="898"/>
      <c r="J884" s="898"/>
      <c r="K884" s="899"/>
      <c r="L884" s="899"/>
      <c r="M884" s="899"/>
      <c r="N884" s="899"/>
      <c r="O884" s="899"/>
      <c r="P884" s="899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896"/>
      <c r="E885" s="677"/>
      <c r="F885" s="677"/>
      <c r="G885" s="677"/>
      <c r="H885" s="897"/>
      <c r="I885" s="898"/>
      <c r="J885" s="898"/>
      <c r="K885" s="899"/>
      <c r="L885" s="899"/>
      <c r="M885" s="899"/>
      <c r="N885" s="899"/>
      <c r="O885" s="899"/>
      <c r="P885" s="899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896"/>
      <c r="E886" s="677"/>
      <c r="F886" s="677"/>
      <c r="G886" s="677"/>
      <c r="H886" s="897"/>
      <c r="I886" s="898"/>
      <c r="J886" s="898"/>
      <c r="K886" s="899"/>
      <c r="L886" s="899"/>
      <c r="M886" s="899"/>
      <c r="N886" s="899"/>
      <c r="O886" s="899"/>
      <c r="P886" s="899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896"/>
      <c r="E887" s="677"/>
      <c r="F887" s="677"/>
      <c r="G887" s="677"/>
      <c r="H887" s="897"/>
      <c r="I887" s="898"/>
      <c r="J887" s="898"/>
      <c r="K887" s="899"/>
      <c r="L887" s="899"/>
      <c r="M887" s="899"/>
      <c r="N887" s="899"/>
      <c r="O887" s="899"/>
      <c r="P887" s="899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896"/>
      <c r="E888" s="677"/>
      <c r="F888" s="677"/>
      <c r="G888" s="677"/>
      <c r="H888" s="897"/>
      <c r="I888" s="898"/>
      <c r="J888" s="898"/>
      <c r="K888" s="899"/>
      <c r="L888" s="899"/>
      <c r="M888" s="899"/>
      <c r="N888" s="899"/>
      <c r="O888" s="899"/>
      <c r="P888" s="899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896"/>
      <c r="E889" s="677"/>
      <c r="F889" s="677"/>
      <c r="G889" s="677"/>
      <c r="H889" s="897"/>
      <c r="I889" s="898"/>
      <c r="J889" s="898"/>
      <c r="K889" s="899"/>
      <c r="L889" s="899"/>
      <c r="M889" s="899"/>
      <c r="N889" s="899"/>
      <c r="O889" s="899"/>
      <c r="P889" s="899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896"/>
      <c r="E890" s="677"/>
      <c r="F890" s="677"/>
      <c r="G890" s="677"/>
      <c r="H890" s="897"/>
      <c r="I890" s="898"/>
      <c r="J890" s="898"/>
      <c r="K890" s="899"/>
      <c r="L890" s="899"/>
      <c r="M890" s="899"/>
      <c r="N890" s="899"/>
      <c r="O890" s="899"/>
      <c r="P890" s="899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896"/>
      <c r="E891" s="677"/>
      <c r="F891" s="677"/>
      <c r="G891" s="677"/>
      <c r="H891" s="897"/>
      <c r="I891" s="898"/>
      <c r="J891" s="898"/>
      <c r="K891" s="899"/>
      <c r="L891" s="899"/>
      <c r="M891" s="899"/>
      <c r="N891" s="899"/>
      <c r="O891" s="899"/>
      <c r="P891" s="899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896"/>
      <c r="E892" s="677"/>
      <c r="F892" s="677"/>
      <c r="G892" s="677"/>
      <c r="H892" s="897"/>
      <c r="I892" s="898"/>
      <c r="J892" s="898"/>
      <c r="K892" s="899"/>
      <c r="L892" s="899"/>
      <c r="M892" s="899"/>
      <c r="N892" s="899"/>
      <c r="O892" s="899"/>
      <c r="P892" s="899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896"/>
      <c r="E893" s="677"/>
      <c r="F893" s="677"/>
      <c r="G893" s="677"/>
      <c r="H893" s="897"/>
      <c r="I893" s="898"/>
      <c r="J893" s="898"/>
      <c r="K893" s="899"/>
      <c r="L893" s="899"/>
      <c r="M893" s="899"/>
      <c r="N893" s="899"/>
      <c r="O893" s="899"/>
      <c r="P893" s="899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896"/>
      <c r="E894" s="677"/>
      <c r="F894" s="677"/>
      <c r="G894" s="677"/>
      <c r="H894" s="897"/>
      <c r="I894" s="898"/>
      <c r="J894" s="898"/>
      <c r="K894" s="899"/>
      <c r="L894" s="899"/>
      <c r="M894" s="899"/>
      <c r="N894" s="899"/>
      <c r="O894" s="899"/>
      <c r="P894" s="899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896"/>
      <c r="E895" s="677"/>
      <c r="F895" s="677"/>
      <c r="G895" s="677"/>
      <c r="H895" s="897"/>
      <c r="I895" s="898"/>
      <c r="J895" s="898"/>
      <c r="K895" s="899"/>
      <c r="L895" s="899"/>
      <c r="M895" s="899"/>
      <c r="N895" s="899"/>
      <c r="O895" s="899"/>
      <c r="P895" s="899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896"/>
      <c r="E896" s="677"/>
      <c r="F896" s="677"/>
      <c r="G896" s="677"/>
      <c r="H896" s="897"/>
      <c r="I896" s="898"/>
      <c r="J896" s="898"/>
      <c r="K896" s="899"/>
      <c r="L896" s="899"/>
      <c r="M896" s="899"/>
      <c r="N896" s="899"/>
      <c r="O896" s="899"/>
      <c r="P896" s="899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896"/>
      <c r="E897" s="677"/>
      <c r="F897" s="677"/>
      <c r="G897" s="677"/>
      <c r="H897" s="897"/>
      <c r="I897" s="898"/>
      <c r="J897" s="898"/>
      <c r="K897" s="899"/>
      <c r="L897" s="899"/>
      <c r="M897" s="899"/>
      <c r="N897" s="899"/>
      <c r="O897" s="899"/>
      <c r="P897" s="899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896"/>
      <c r="E898" s="677"/>
      <c r="F898" s="677"/>
      <c r="G898" s="677"/>
      <c r="H898" s="897"/>
      <c r="I898" s="898"/>
      <c r="J898" s="898"/>
      <c r="K898" s="899"/>
      <c r="L898" s="899"/>
      <c r="M898" s="899"/>
      <c r="N898" s="899"/>
      <c r="O898" s="899"/>
      <c r="P898" s="899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896"/>
      <c r="E899" s="677"/>
      <c r="F899" s="677"/>
      <c r="G899" s="677"/>
      <c r="H899" s="897"/>
      <c r="I899" s="898"/>
      <c r="J899" s="898"/>
      <c r="K899" s="899"/>
      <c r="L899" s="899"/>
      <c r="M899" s="899"/>
      <c r="N899" s="899"/>
      <c r="O899" s="899"/>
      <c r="P899" s="899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896"/>
      <c r="E900" s="677"/>
      <c r="F900" s="677"/>
      <c r="G900" s="677"/>
      <c r="H900" s="897"/>
      <c r="I900" s="898"/>
      <c r="J900" s="898"/>
      <c r="K900" s="899"/>
      <c r="L900" s="899"/>
      <c r="M900" s="899"/>
      <c r="N900" s="899"/>
      <c r="O900" s="899"/>
      <c r="P900" s="899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896"/>
      <c r="E901" s="677"/>
      <c r="F901" s="677"/>
      <c r="G901" s="677"/>
      <c r="H901" s="897"/>
      <c r="I901" s="898"/>
      <c r="J901" s="898"/>
      <c r="K901" s="899"/>
      <c r="L901" s="899"/>
      <c r="M901" s="899"/>
      <c r="N901" s="899"/>
      <c r="O901" s="899"/>
      <c r="P901" s="899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896"/>
      <c r="E902" s="677"/>
      <c r="F902" s="677"/>
      <c r="G902" s="677"/>
      <c r="H902" s="897"/>
      <c r="I902" s="898"/>
      <c r="J902" s="898"/>
      <c r="K902" s="899"/>
      <c r="L902" s="899"/>
      <c r="M902" s="899"/>
      <c r="N902" s="899"/>
      <c r="O902" s="899"/>
      <c r="P902" s="899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896"/>
      <c r="E903" s="677"/>
      <c r="F903" s="677"/>
      <c r="G903" s="677"/>
      <c r="H903" s="897"/>
      <c r="I903" s="898"/>
      <c r="J903" s="898"/>
      <c r="K903" s="899"/>
      <c r="L903" s="899"/>
      <c r="M903" s="899"/>
      <c r="N903" s="899"/>
      <c r="O903" s="899"/>
      <c r="P903" s="899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896"/>
      <c r="E904" s="677"/>
      <c r="F904" s="677"/>
      <c r="G904" s="677"/>
      <c r="H904" s="897"/>
      <c r="I904" s="898"/>
      <c r="J904" s="898"/>
      <c r="K904" s="899"/>
      <c r="L904" s="899"/>
      <c r="M904" s="899"/>
      <c r="N904" s="899"/>
      <c r="O904" s="899"/>
      <c r="P904" s="899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896"/>
      <c r="E905" s="677"/>
      <c r="F905" s="677"/>
      <c r="G905" s="677"/>
      <c r="H905" s="897"/>
      <c r="I905" s="898"/>
      <c r="J905" s="898"/>
      <c r="K905" s="899"/>
      <c r="L905" s="899"/>
      <c r="M905" s="899"/>
      <c r="N905" s="899"/>
      <c r="O905" s="899"/>
      <c r="P905" s="899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896"/>
      <c r="E906" s="677"/>
      <c r="F906" s="677"/>
      <c r="G906" s="677"/>
      <c r="H906" s="897"/>
      <c r="I906" s="898"/>
      <c r="J906" s="898"/>
      <c r="K906" s="899"/>
      <c r="L906" s="899"/>
      <c r="M906" s="899"/>
      <c r="N906" s="899"/>
      <c r="O906" s="899"/>
      <c r="P906" s="899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896"/>
      <c r="E907" s="677"/>
      <c r="F907" s="677"/>
      <c r="G907" s="677"/>
      <c r="H907" s="897"/>
      <c r="I907" s="898"/>
      <c r="J907" s="898"/>
      <c r="K907" s="899"/>
      <c r="L907" s="899"/>
      <c r="M907" s="899"/>
      <c r="N907" s="899"/>
      <c r="O907" s="899"/>
      <c r="P907" s="899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896"/>
      <c r="E908" s="677"/>
      <c r="F908" s="677"/>
      <c r="G908" s="677"/>
      <c r="H908" s="897"/>
      <c r="I908" s="898"/>
      <c r="J908" s="898"/>
      <c r="K908" s="899"/>
      <c r="L908" s="899"/>
      <c r="M908" s="899"/>
      <c r="N908" s="899"/>
      <c r="O908" s="899"/>
      <c r="P908" s="899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896"/>
      <c r="E909" s="677"/>
      <c r="F909" s="677"/>
      <c r="G909" s="677"/>
      <c r="H909" s="897"/>
      <c r="I909" s="898"/>
      <c r="J909" s="898"/>
      <c r="K909" s="899"/>
      <c r="L909" s="899"/>
      <c r="M909" s="899"/>
      <c r="N909" s="899"/>
      <c r="O909" s="899"/>
      <c r="P909" s="899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896"/>
      <c r="E910" s="677"/>
      <c r="F910" s="677"/>
      <c r="G910" s="677"/>
      <c r="H910" s="897"/>
      <c r="I910" s="898"/>
      <c r="J910" s="898"/>
      <c r="K910" s="899"/>
      <c r="L910" s="899"/>
      <c r="M910" s="899"/>
      <c r="N910" s="899"/>
      <c r="O910" s="899"/>
      <c r="P910" s="899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896"/>
      <c r="E911" s="677"/>
      <c r="F911" s="677"/>
      <c r="G911" s="677"/>
      <c r="H911" s="897"/>
      <c r="I911" s="898"/>
      <c r="J911" s="898"/>
      <c r="K911" s="899"/>
      <c r="L911" s="899"/>
      <c r="M911" s="899"/>
      <c r="N911" s="899"/>
      <c r="O911" s="899"/>
      <c r="P911" s="899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896"/>
      <c r="E912" s="677"/>
      <c r="F912" s="677"/>
      <c r="G912" s="677"/>
      <c r="H912" s="897"/>
      <c r="I912" s="898"/>
      <c r="J912" s="898"/>
      <c r="K912" s="899"/>
      <c r="L912" s="899"/>
      <c r="M912" s="899"/>
      <c r="N912" s="899"/>
      <c r="O912" s="899"/>
      <c r="P912" s="899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896"/>
      <c r="E913" s="677"/>
      <c r="F913" s="677"/>
      <c r="G913" s="677"/>
      <c r="H913" s="897"/>
      <c r="I913" s="898"/>
      <c r="J913" s="898"/>
      <c r="K913" s="899"/>
      <c r="L913" s="899"/>
      <c r="M913" s="899"/>
      <c r="N913" s="899"/>
      <c r="O913" s="899"/>
      <c r="P913" s="899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896"/>
      <c r="E914" s="677"/>
      <c r="F914" s="677"/>
      <c r="G914" s="677"/>
      <c r="H914" s="897"/>
      <c r="I914" s="898"/>
      <c r="J914" s="898"/>
      <c r="K914" s="899"/>
      <c r="L914" s="899"/>
      <c r="M914" s="899"/>
      <c r="N914" s="899"/>
      <c r="O914" s="899"/>
      <c r="P914" s="899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896"/>
      <c r="E915" s="677"/>
      <c r="F915" s="677"/>
      <c r="G915" s="677"/>
      <c r="H915" s="897"/>
      <c r="I915" s="898"/>
      <c r="J915" s="898"/>
      <c r="K915" s="899"/>
      <c r="L915" s="899"/>
      <c r="M915" s="899"/>
      <c r="N915" s="899"/>
      <c r="O915" s="899"/>
      <c r="P915" s="899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896"/>
      <c r="E916" s="677"/>
      <c r="F916" s="677"/>
      <c r="G916" s="677"/>
      <c r="H916" s="897"/>
      <c r="I916" s="898"/>
      <c r="J916" s="898"/>
      <c r="K916" s="899"/>
      <c r="L916" s="899"/>
      <c r="M916" s="899"/>
      <c r="N916" s="899"/>
      <c r="O916" s="899"/>
      <c r="P916" s="899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896"/>
      <c r="E917" s="677"/>
      <c r="F917" s="677"/>
      <c r="G917" s="677"/>
      <c r="H917" s="897"/>
      <c r="I917" s="898"/>
      <c r="J917" s="898"/>
      <c r="K917" s="899"/>
      <c r="L917" s="899"/>
      <c r="M917" s="899"/>
      <c r="N917" s="899"/>
      <c r="O917" s="899"/>
      <c r="P917" s="899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896"/>
      <c r="E918" s="677"/>
      <c r="F918" s="677"/>
      <c r="G918" s="677"/>
      <c r="H918" s="897"/>
      <c r="I918" s="898"/>
      <c r="J918" s="898"/>
      <c r="K918" s="899"/>
      <c r="L918" s="899"/>
      <c r="M918" s="899"/>
      <c r="N918" s="899"/>
      <c r="O918" s="899"/>
      <c r="P918" s="899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896"/>
      <c r="E919" s="677"/>
      <c r="F919" s="677"/>
      <c r="G919" s="677"/>
      <c r="H919" s="897"/>
      <c r="I919" s="898"/>
      <c r="J919" s="898"/>
      <c r="K919" s="899"/>
      <c r="L919" s="899"/>
      <c r="M919" s="899"/>
      <c r="N919" s="899"/>
      <c r="O919" s="899"/>
      <c r="P919" s="899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896"/>
      <c r="E920" s="677"/>
      <c r="F920" s="677"/>
      <c r="G920" s="677"/>
      <c r="H920" s="897"/>
      <c r="I920" s="898"/>
      <c r="J920" s="898"/>
      <c r="K920" s="899"/>
      <c r="L920" s="899"/>
      <c r="M920" s="899"/>
      <c r="N920" s="899"/>
      <c r="O920" s="899"/>
      <c r="P920" s="899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896"/>
      <c r="E921" s="677"/>
      <c r="F921" s="677"/>
      <c r="G921" s="677"/>
      <c r="H921" s="897"/>
      <c r="I921" s="898"/>
      <c r="J921" s="898"/>
      <c r="K921" s="899"/>
      <c r="L921" s="899"/>
      <c r="M921" s="899"/>
      <c r="N921" s="899"/>
      <c r="O921" s="899"/>
      <c r="P921" s="899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896"/>
      <c r="E922" s="677"/>
      <c r="F922" s="677"/>
      <c r="G922" s="677"/>
      <c r="H922" s="897"/>
      <c r="I922" s="898"/>
      <c r="J922" s="898"/>
      <c r="K922" s="899"/>
      <c r="L922" s="899"/>
      <c r="M922" s="899"/>
      <c r="N922" s="899"/>
      <c r="O922" s="899"/>
      <c r="P922" s="899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896"/>
      <c r="E923" s="677"/>
      <c r="F923" s="677"/>
      <c r="G923" s="677"/>
      <c r="H923" s="897"/>
      <c r="I923" s="898"/>
      <c r="J923" s="898"/>
      <c r="K923" s="899"/>
      <c r="L923" s="899"/>
      <c r="M923" s="899"/>
      <c r="N923" s="899"/>
      <c r="O923" s="899"/>
      <c r="P923" s="899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896"/>
      <c r="E924" s="677"/>
      <c r="F924" s="677"/>
      <c r="G924" s="677"/>
      <c r="H924" s="897"/>
      <c r="I924" s="898"/>
      <c r="J924" s="898"/>
      <c r="K924" s="899"/>
      <c r="L924" s="899"/>
      <c r="M924" s="899"/>
      <c r="N924" s="899"/>
      <c r="O924" s="899"/>
      <c r="P924" s="899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896"/>
      <c r="E925" s="677"/>
      <c r="F925" s="677"/>
      <c r="G925" s="677"/>
      <c r="H925" s="897"/>
      <c r="I925" s="898"/>
      <c r="J925" s="898"/>
      <c r="K925" s="899"/>
      <c r="L925" s="899"/>
      <c r="M925" s="899"/>
      <c r="N925" s="899"/>
      <c r="O925" s="899"/>
      <c r="P925" s="899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896"/>
      <c r="E926" s="677"/>
      <c r="F926" s="677"/>
      <c r="G926" s="677"/>
      <c r="H926" s="897"/>
      <c r="I926" s="898"/>
      <c r="J926" s="898"/>
      <c r="K926" s="899"/>
      <c r="L926" s="899"/>
      <c r="M926" s="899"/>
      <c r="N926" s="899"/>
      <c r="O926" s="899"/>
      <c r="P926" s="899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896"/>
      <c r="E927" s="677"/>
      <c r="F927" s="677"/>
      <c r="G927" s="677"/>
      <c r="H927" s="897"/>
      <c r="I927" s="898"/>
      <c r="J927" s="898"/>
      <c r="K927" s="899"/>
      <c r="L927" s="899"/>
      <c r="M927" s="899"/>
      <c r="N927" s="899"/>
      <c r="O927" s="899"/>
      <c r="P927" s="899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896"/>
      <c r="E928" s="677"/>
      <c r="F928" s="677"/>
      <c r="G928" s="677"/>
      <c r="H928" s="897"/>
      <c r="I928" s="898"/>
      <c r="J928" s="898"/>
      <c r="K928" s="899"/>
      <c r="L928" s="899"/>
      <c r="M928" s="899"/>
      <c r="N928" s="899"/>
      <c r="O928" s="899"/>
      <c r="P928" s="899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896"/>
      <c r="E929" s="677"/>
      <c r="F929" s="677"/>
      <c r="G929" s="677"/>
      <c r="H929" s="897"/>
      <c r="I929" s="898"/>
      <c r="J929" s="898"/>
      <c r="K929" s="899"/>
      <c r="L929" s="899"/>
      <c r="M929" s="899"/>
      <c r="N929" s="899"/>
      <c r="O929" s="899"/>
      <c r="P929" s="899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896"/>
      <c r="E930" s="677"/>
      <c r="F930" s="677"/>
      <c r="G930" s="677"/>
      <c r="H930" s="897"/>
      <c r="I930" s="898"/>
      <c r="J930" s="898"/>
      <c r="K930" s="899"/>
      <c r="L930" s="899"/>
      <c r="M930" s="899"/>
      <c r="N930" s="899"/>
      <c r="O930" s="899"/>
      <c r="P930" s="899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896"/>
      <c r="E931" s="677"/>
      <c r="F931" s="677"/>
      <c r="G931" s="677"/>
      <c r="H931" s="897"/>
      <c r="I931" s="898"/>
      <c r="J931" s="898"/>
      <c r="K931" s="899"/>
      <c r="L931" s="899"/>
      <c r="M931" s="899"/>
      <c r="N931" s="899"/>
      <c r="O931" s="899"/>
      <c r="P931" s="899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896"/>
      <c r="E932" s="677"/>
      <c r="F932" s="677"/>
      <c r="G932" s="677"/>
      <c r="H932" s="897"/>
      <c r="I932" s="898"/>
      <c r="J932" s="898"/>
      <c r="K932" s="899"/>
      <c r="L932" s="899"/>
      <c r="M932" s="899"/>
      <c r="N932" s="899"/>
      <c r="O932" s="899"/>
      <c r="P932" s="899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896"/>
      <c r="E933" s="677"/>
      <c r="F933" s="677"/>
      <c r="G933" s="677"/>
      <c r="H933" s="897"/>
      <c r="I933" s="898"/>
      <c r="J933" s="898"/>
      <c r="K933" s="899"/>
      <c r="L933" s="899"/>
      <c r="M933" s="899"/>
      <c r="N933" s="899"/>
      <c r="O933" s="899"/>
      <c r="P933" s="899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896"/>
      <c r="E934" s="677"/>
      <c r="F934" s="677"/>
      <c r="G934" s="677"/>
      <c r="H934" s="897"/>
      <c r="I934" s="898"/>
      <c r="J934" s="898"/>
      <c r="K934" s="899"/>
      <c r="L934" s="899"/>
      <c r="M934" s="899"/>
      <c r="N934" s="899"/>
      <c r="O934" s="899"/>
      <c r="P934" s="899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896"/>
      <c r="E935" s="677"/>
      <c r="F935" s="677"/>
      <c r="G935" s="677"/>
      <c r="H935" s="897"/>
      <c r="I935" s="898"/>
      <c r="J935" s="898"/>
      <c r="K935" s="899"/>
      <c r="L935" s="899"/>
      <c r="M935" s="899"/>
      <c r="N935" s="899"/>
      <c r="O935" s="899"/>
      <c r="P935" s="899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896"/>
      <c r="E936" s="677"/>
      <c r="F936" s="677"/>
      <c r="G936" s="677"/>
      <c r="H936" s="897"/>
      <c r="I936" s="898"/>
      <c r="J936" s="898"/>
      <c r="K936" s="899"/>
      <c r="L936" s="899"/>
      <c r="M936" s="899"/>
      <c r="N936" s="899"/>
      <c r="O936" s="899"/>
      <c r="P936" s="899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896"/>
      <c r="E937" s="677"/>
      <c r="F937" s="677"/>
      <c r="G937" s="677"/>
      <c r="H937" s="897"/>
      <c r="I937" s="898"/>
      <c r="J937" s="898"/>
      <c r="K937" s="899"/>
      <c r="L937" s="899"/>
      <c r="M937" s="899"/>
      <c r="N937" s="899"/>
      <c r="O937" s="899"/>
      <c r="P937" s="899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896"/>
      <c r="E938" s="677"/>
      <c r="F938" s="677"/>
      <c r="G938" s="677"/>
      <c r="H938" s="897"/>
      <c r="I938" s="898"/>
      <c r="J938" s="898"/>
      <c r="K938" s="899"/>
      <c r="L938" s="899"/>
      <c r="M938" s="899"/>
      <c r="N938" s="899"/>
      <c r="O938" s="899"/>
      <c r="P938" s="899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896"/>
      <c r="E939" s="677"/>
      <c r="F939" s="677"/>
      <c r="G939" s="677"/>
      <c r="H939" s="897"/>
      <c r="I939" s="898"/>
      <c r="J939" s="898"/>
      <c r="K939" s="899"/>
      <c r="L939" s="899"/>
      <c r="M939" s="899"/>
      <c r="N939" s="899"/>
      <c r="O939" s="899"/>
      <c r="P939" s="899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896"/>
      <c r="E940" s="677"/>
      <c r="F940" s="677"/>
      <c r="G940" s="677"/>
      <c r="H940" s="897"/>
      <c r="I940" s="898"/>
      <c r="J940" s="898"/>
      <c r="K940" s="899"/>
      <c r="L940" s="899"/>
      <c r="M940" s="899"/>
      <c r="N940" s="899"/>
      <c r="O940" s="899"/>
      <c r="P940" s="899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896"/>
      <c r="E941" s="677"/>
      <c r="F941" s="677"/>
      <c r="G941" s="677"/>
      <c r="H941" s="897"/>
      <c r="I941" s="898"/>
      <c r="J941" s="898"/>
      <c r="K941" s="899"/>
      <c r="L941" s="899"/>
      <c r="M941" s="899"/>
      <c r="N941" s="899"/>
      <c r="O941" s="899"/>
      <c r="P941" s="899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896"/>
      <c r="E942" s="677"/>
      <c r="F942" s="677"/>
      <c r="G942" s="677"/>
      <c r="H942" s="897"/>
      <c r="I942" s="898"/>
      <c r="J942" s="898"/>
      <c r="K942" s="899"/>
      <c r="L942" s="899"/>
      <c r="M942" s="899"/>
      <c r="N942" s="899"/>
      <c r="O942" s="899"/>
      <c r="P942" s="899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896"/>
      <c r="E943" s="677"/>
      <c r="F943" s="677"/>
      <c r="G943" s="677"/>
      <c r="H943" s="897"/>
      <c r="I943" s="898"/>
      <c r="J943" s="898"/>
      <c r="K943" s="899"/>
      <c r="L943" s="899"/>
      <c r="M943" s="899"/>
      <c r="N943" s="899"/>
      <c r="O943" s="899"/>
      <c r="P943" s="899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896"/>
      <c r="E944" s="677"/>
      <c r="F944" s="677"/>
      <c r="G944" s="677"/>
      <c r="H944" s="897"/>
      <c r="I944" s="898"/>
      <c r="J944" s="898"/>
      <c r="K944" s="899"/>
      <c r="L944" s="899"/>
      <c r="M944" s="899"/>
      <c r="N944" s="899"/>
      <c r="O944" s="899"/>
      <c r="P944" s="899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896"/>
      <c r="E945" s="677"/>
      <c r="F945" s="677"/>
      <c r="G945" s="677"/>
      <c r="H945" s="897"/>
      <c r="I945" s="898"/>
      <c r="J945" s="898"/>
      <c r="K945" s="899"/>
      <c r="L945" s="899"/>
      <c r="M945" s="899"/>
      <c r="N945" s="899"/>
      <c r="O945" s="899"/>
      <c r="P945" s="899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896"/>
      <c r="E946" s="677"/>
      <c r="F946" s="677"/>
      <c r="G946" s="677"/>
      <c r="H946" s="897"/>
      <c r="I946" s="898"/>
      <c r="J946" s="898"/>
      <c r="K946" s="899"/>
      <c r="L946" s="899"/>
      <c r="M946" s="899"/>
      <c r="N946" s="899"/>
      <c r="O946" s="899"/>
      <c r="P946" s="899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896"/>
      <c r="E947" s="677"/>
      <c r="F947" s="677"/>
      <c r="G947" s="677"/>
      <c r="H947" s="897"/>
      <c r="I947" s="898"/>
      <c r="J947" s="898"/>
      <c r="K947" s="899"/>
      <c r="L947" s="899"/>
      <c r="M947" s="899"/>
      <c r="N947" s="899"/>
      <c r="O947" s="899"/>
      <c r="P947" s="899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896"/>
      <c r="E948" s="677"/>
      <c r="F948" s="677"/>
      <c r="G948" s="677"/>
      <c r="H948" s="897"/>
      <c r="I948" s="898"/>
      <c r="J948" s="898"/>
      <c r="K948" s="899"/>
      <c r="L948" s="899"/>
      <c r="M948" s="899"/>
      <c r="N948" s="899"/>
      <c r="O948" s="899"/>
      <c r="P948" s="899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896"/>
      <c r="E949" s="677"/>
      <c r="F949" s="677"/>
      <c r="G949" s="677"/>
      <c r="H949" s="897"/>
      <c r="I949" s="898"/>
      <c r="J949" s="898"/>
      <c r="K949" s="899"/>
      <c r="L949" s="899"/>
      <c r="M949" s="899"/>
      <c r="N949" s="899"/>
      <c r="O949" s="899"/>
      <c r="P949" s="899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896"/>
      <c r="E950" s="677"/>
      <c r="F950" s="677"/>
      <c r="G950" s="677"/>
      <c r="H950" s="897"/>
      <c r="I950" s="898"/>
      <c r="J950" s="898"/>
      <c r="K950" s="899"/>
      <c r="L950" s="899"/>
      <c r="M950" s="899"/>
      <c r="N950" s="899"/>
      <c r="O950" s="899"/>
      <c r="P950" s="899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896"/>
      <c r="E951" s="677"/>
      <c r="F951" s="677"/>
      <c r="G951" s="677"/>
      <c r="H951" s="897"/>
      <c r="I951" s="898"/>
      <c r="J951" s="898"/>
      <c r="K951" s="899"/>
      <c r="L951" s="899"/>
      <c r="M951" s="899"/>
      <c r="N951" s="899"/>
      <c r="O951" s="899"/>
      <c r="P951" s="899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896"/>
      <c r="E952" s="677"/>
      <c r="F952" s="677"/>
      <c r="G952" s="677"/>
      <c r="H952" s="897"/>
      <c r="I952" s="898"/>
      <c r="J952" s="898"/>
      <c r="K952" s="899"/>
      <c r="L952" s="899"/>
      <c r="M952" s="899"/>
      <c r="N952" s="899"/>
      <c r="O952" s="899"/>
      <c r="P952" s="899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896"/>
      <c r="E953" s="677"/>
      <c r="F953" s="677"/>
      <c r="G953" s="677"/>
      <c r="H953" s="897"/>
      <c r="I953" s="898"/>
      <c r="J953" s="898"/>
      <c r="K953" s="899"/>
      <c r="L953" s="899"/>
      <c r="M953" s="899"/>
      <c r="N953" s="899"/>
      <c r="O953" s="899"/>
      <c r="P953" s="899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896"/>
      <c r="E954" s="677"/>
      <c r="F954" s="677"/>
      <c r="G954" s="677"/>
      <c r="H954" s="897"/>
      <c r="I954" s="898"/>
      <c r="J954" s="898"/>
      <c r="K954" s="899"/>
      <c r="L954" s="899"/>
      <c r="M954" s="899"/>
      <c r="N954" s="899"/>
      <c r="O954" s="899"/>
      <c r="P954" s="899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896"/>
      <c r="E955" s="677"/>
      <c r="F955" s="677"/>
      <c r="G955" s="677"/>
      <c r="H955" s="897"/>
      <c r="I955" s="898"/>
      <c r="J955" s="898"/>
      <c r="K955" s="899"/>
      <c r="L955" s="899"/>
      <c r="M955" s="899"/>
      <c r="N955" s="899"/>
      <c r="O955" s="899"/>
      <c r="P955" s="899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896"/>
      <c r="E956" s="677"/>
      <c r="F956" s="677"/>
      <c r="G956" s="677"/>
      <c r="H956" s="897"/>
      <c r="I956" s="898"/>
      <c r="J956" s="898"/>
      <c r="K956" s="899"/>
      <c r="L956" s="899"/>
      <c r="M956" s="899"/>
      <c r="N956" s="899"/>
      <c r="O956" s="899"/>
      <c r="P956" s="899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896"/>
      <c r="E957" s="677"/>
      <c r="F957" s="677"/>
      <c r="G957" s="677"/>
      <c r="H957" s="897"/>
      <c r="I957" s="898"/>
      <c r="J957" s="898"/>
      <c r="K957" s="899"/>
      <c r="L957" s="899"/>
      <c r="M957" s="899"/>
      <c r="N957" s="899"/>
      <c r="O957" s="899"/>
      <c r="P957" s="899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896"/>
      <c r="E958" s="677"/>
      <c r="F958" s="677"/>
      <c r="G958" s="677"/>
      <c r="H958" s="897"/>
      <c r="I958" s="898"/>
      <c r="J958" s="898"/>
      <c r="K958" s="899"/>
      <c r="L958" s="899"/>
      <c r="M958" s="899"/>
      <c r="N958" s="899"/>
      <c r="O958" s="899"/>
      <c r="P958" s="899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896"/>
      <c r="E959" s="677"/>
      <c r="F959" s="677"/>
      <c r="G959" s="677"/>
      <c r="H959" s="897"/>
      <c r="I959" s="898"/>
      <c r="J959" s="898"/>
      <c r="K959" s="899"/>
      <c r="L959" s="899"/>
      <c r="M959" s="899"/>
      <c r="N959" s="899"/>
      <c r="O959" s="899"/>
      <c r="P959" s="899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896"/>
      <c r="E960" s="677"/>
      <c r="F960" s="677"/>
      <c r="G960" s="677"/>
      <c r="H960" s="897"/>
      <c r="I960" s="898"/>
      <c r="J960" s="898"/>
      <c r="K960" s="899"/>
      <c r="L960" s="899"/>
      <c r="M960" s="899"/>
      <c r="N960" s="899"/>
      <c r="O960" s="899"/>
      <c r="P960" s="899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896"/>
      <c r="E961" s="677"/>
      <c r="F961" s="677"/>
      <c r="G961" s="677"/>
      <c r="H961" s="897"/>
      <c r="I961" s="898"/>
      <c r="J961" s="898"/>
      <c r="K961" s="899"/>
      <c r="L961" s="899"/>
      <c r="M961" s="899"/>
      <c r="N961" s="899"/>
      <c r="O961" s="899"/>
      <c r="P961" s="899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896"/>
      <c r="E962" s="677"/>
      <c r="F962" s="677"/>
      <c r="G962" s="677"/>
      <c r="H962" s="897"/>
      <c r="I962" s="898"/>
      <c r="J962" s="898"/>
      <c r="K962" s="899"/>
      <c r="L962" s="899"/>
      <c r="M962" s="899"/>
      <c r="N962" s="899"/>
      <c r="O962" s="899"/>
      <c r="P962" s="899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896"/>
      <c r="E963" s="677"/>
      <c r="F963" s="677"/>
      <c r="G963" s="677"/>
      <c r="H963" s="897"/>
      <c r="I963" s="898"/>
      <c r="J963" s="898"/>
      <c r="K963" s="899"/>
      <c r="L963" s="899"/>
      <c r="M963" s="899"/>
      <c r="N963" s="899"/>
      <c r="O963" s="899"/>
      <c r="P963" s="899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896"/>
      <c r="E964" s="677"/>
      <c r="F964" s="677"/>
      <c r="G964" s="677"/>
      <c r="H964" s="897"/>
      <c r="I964" s="898"/>
      <c r="J964" s="898"/>
      <c r="K964" s="899"/>
      <c r="L964" s="899"/>
      <c r="M964" s="899"/>
      <c r="N964" s="899"/>
      <c r="O964" s="899"/>
      <c r="P964" s="899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896"/>
      <c r="E965" s="677"/>
      <c r="F965" s="677"/>
      <c r="G965" s="677"/>
      <c r="H965" s="897"/>
      <c r="I965" s="898"/>
      <c r="J965" s="898"/>
      <c r="K965" s="899"/>
      <c r="L965" s="899"/>
      <c r="M965" s="899"/>
      <c r="N965" s="899"/>
      <c r="O965" s="899"/>
      <c r="P965" s="899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896"/>
      <c r="E966" s="677"/>
      <c r="F966" s="677"/>
      <c r="G966" s="677"/>
      <c r="H966" s="897"/>
      <c r="I966" s="898"/>
      <c r="J966" s="898"/>
      <c r="K966" s="899"/>
      <c r="L966" s="899"/>
      <c r="M966" s="899"/>
      <c r="N966" s="899"/>
      <c r="O966" s="899"/>
      <c r="P966" s="899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896"/>
      <c r="E967" s="677"/>
      <c r="F967" s="677"/>
      <c r="G967" s="677"/>
      <c r="H967" s="897"/>
      <c r="I967" s="898"/>
      <c r="J967" s="898"/>
      <c r="K967" s="899"/>
      <c r="L967" s="899"/>
      <c r="M967" s="899"/>
      <c r="N967" s="899"/>
      <c r="O967" s="899"/>
      <c r="P967" s="899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896"/>
      <c r="E968" s="677"/>
      <c r="F968" s="677"/>
      <c r="G968" s="677"/>
      <c r="H968" s="897"/>
      <c r="I968" s="898"/>
      <c r="J968" s="898"/>
      <c r="K968" s="899"/>
      <c r="L968" s="899"/>
      <c r="M968" s="899"/>
      <c r="N968" s="899"/>
      <c r="O968" s="899"/>
      <c r="P968" s="899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896"/>
      <c r="E969" s="677"/>
      <c r="F969" s="677"/>
      <c r="G969" s="677"/>
      <c r="H969" s="897"/>
      <c r="I969" s="898"/>
      <c r="J969" s="898"/>
      <c r="K969" s="899"/>
      <c r="L969" s="899"/>
      <c r="M969" s="899"/>
      <c r="N969" s="899"/>
      <c r="O969" s="899"/>
      <c r="P969" s="899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896"/>
      <c r="E970" s="677"/>
      <c r="F970" s="677"/>
      <c r="G970" s="677"/>
      <c r="H970" s="897"/>
      <c r="I970" s="898"/>
      <c r="J970" s="898"/>
      <c r="K970" s="899"/>
      <c r="L970" s="899"/>
      <c r="M970" s="899"/>
      <c r="N970" s="899"/>
      <c r="O970" s="899"/>
      <c r="P970" s="899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896"/>
      <c r="E971" s="677"/>
      <c r="F971" s="677"/>
      <c r="G971" s="677"/>
      <c r="H971" s="897"/>
      <c r="I971" s="898"/>
      <c r="J971" s="898"/>
      <c r="K971" s="899"/>
      <c r="L971" s="899"/>
      <c r="M971" s="899"/>
      <c r="N971" s="899"/>
      <c r="O971" s="899"/>
      <c r="P971" s="899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896"/>
      <c r="E972" s="677"/>
      <c r="F972" s="677"/>
      <c r="G972" s="677"/>
      <c r="H972" s="897"/>
      <c r="I972" s="898"/>
      <c r="J972" s="898"/>
      <c r="K972" s="899"/>
      <c r="L972" s="899"/>
      <c r="M972" s="899"/>
      <c r="N972" s="899"/>
      <c r="O972" s="899"/>
      <c r="P972" s="899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896"/>
      <c r="E973" s="677"/>
      <c r="F973" s="677"/>
      <c r="G973" s="677"/>
      <c r="H973" s="897"/>
      <c r="I973" s="898"/>
      <c r="J973" s="898"/>
      <c r="K973" s="899"/>
      <c r="L973" s="899"/>
      <c r="M973" s="899"/>
      <c r="N973" s="899"/>
      <c r="O973" s="899"/>
      <c r="P973" s="899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896"/>
      <c r="E974" s="677"/>
      <c r="F974" s="677"/>
      <c r="G974" s="677"/>
      <c r="H974" s="897"/>
      <c r="I974" s="898"/>
      <c r="J974" s="898"/>
      <c r="K974" s="899"/>
      <c r="L974" s="899"/>
      <c r="M974" s="899"/>
      <c r="N974" s="899"/>
      <c r="O974" s="899"/>
      <c r="P974" s="899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896"/>
      <c r="E975" s="677"/>
      <c r="F975" s="677"/>
      <c r="G975" s="677"/>
      <c r="H975" s="897"/>
      <c r="I975" s="898"/>
      <c r="J975" s="898"/>
      <c r="K975" s="899"/>
      <c r="L975" s="899"/>
      <c r="M975" s="899"/>
      <c r="N975" s="899"/>
      <c r="O975" s="899"/>
      <c r="P975" s="899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896"/>
      <c r="E976" s="677"/>
      <c r="F976" s="677"/>
      <c r="G976" s="677"/>
      <c r="H976" s="897"/>
      <c r="I976" s="898"/>
      <c r="J976" s="898"/>
      <c r="K976" s="899"/>
      <c r="L976" s="899"/>
      <c r="M976" s="899"/>
      <c r="N976" s="899"/>
      <c r="O976" s="899"/>
      <c r="P976" s="899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896"/>
      <c r="E977" s="677"/>
      <c r="F977" s="677"/>
      <c r="G977" s="677"/>
      <c r="H977" s="897"/>
      <c r="I977" s="898"/>
      <c r="J977" s="898"/>
      <c r="K977" s="899"/>
      <c r="L977" s="899"/>
      <c r="M977" s="899"/>
      <c r="N977" s="899"/>
      <c r="O977" s="899"/>
      <c r="P977" s="899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896"/>
      <c r="E978" s="677"/>
      <c r="F978" s="677"/>
      <c r="G978" s="677"/>
      <c r="H978" s="897"/>
      <c r="I978" s="898"/>
      <c r="J978" s="898"/>
      <c r="K978" s="899"/>
      <c r="L978" s="899"/>
      <c r="M978" s="899"/>
      <c r="N978" s="899"/>
      <c r="O978" s="899"/>
      <c r="P978" s="899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896"/>
      <c r="E979" s="677"/>
      <c r="F979" s="677"/>
      <c r="G979" s="677"/>
      <c r="H979" s="897"/>
      <c r="I979" s="898"/>
      <c r="J979" s="898"/>
      <c r="K979" s="899"/>
      <c r="L979" s="899"/>
      <c r="M979" s="899"/>
      <c r="N979" s="899"/>
      <c r="O979" s="899"/>
      <c r="P979" s="899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896"/>
      <c r="E980" s="677"/>
      <c r="F980" s="677"/>
      <c r="G980" s="677"/>
      <c r="H980" s="897"/>
      <c r="I980" s="898"/>
      <c r="J980" s="898"/>
      <c r="K980" s="899"/>
      <c r="L980" s="899"/>
      <c r="M980" s="899"/>
      <c r="N980" s="899"/>
      <c r="O980" s="899"/>
      <c r="P980" s="899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896"/>
      <c r="E981" s="677"/>
      <c r="F981" s="677"/>
      <c r="G981" s="677"/>
      <c r="H981" s="897"/>
      <c r="I981" s="898"/>
      <c r="J981" s="898"/>
      <c r="K981" s="899"/>
      <c r="L981" s="899"/>
      <c r="M981" s="899"/>
      <c r="N981" s="899"/>
      <c r="O981" s="899"/>
      <c r="P981" s="899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896"/>
      <c r="E982" s="677"/>
      <c r="F982" s="677"/>
      <c r="G982" s="677"/>
      <c r="H982" s="897"/>
      <c r="I982" s="898"/>
      <c r="J982" s="898"/>
      <c r="K982" s="899"/>
      <c r="L982" s="899"/>
      <c r="M982" s="899"/>
      <c r="N982" s="899"/>
      <c r="O982" s="899"/>
      <c r="P982" s="899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896"/>
      <c r="E983" s="677"/>
      <c r="F983" s="677"/>
      <c r="G983" s="677"/>
      <c r="H983" s="897"/>
      <c r="I983" s="898"/>
      <c r="J983" s="898"/>
      <c r="K983" s="899"/>
      <c r="L983" s="899"/>
      <c r="M983" s="899"/>
      <c r="N983" s="899"/>
      <c r="O983" s="899"/>
      <c r="P983" s="899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896"/>
      <c r="E984" s="677"/>
      <c r="F984" s="677"/>
      <c r="G984" s="677"/>
      <c r="H984" s="897"/>
      <c r="I984" s="898"/>
      <c r="J984" s="898"/>
      <c r="K984" s="899"/>
      <c r="L984" s="899"/>
      <c r="M984" s="899"/>
      <c r="N984" s="899"/>
      <c r="O984" s="899"/>
      <c r="P984" s="899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896"/>
      <c r="E985" s="677"/>
      <c r="F985" s="677"/>
      <c r="G985" s="677"/>
      <c r="H985" s="897"/>
      <c r="I985" s="898"/>
      <c r="J985" s="898"/>
      <c r="K985" s="899"/>
      <c r="L985" s="899"/>
      <c r="M985" s="899"/>
      <c r="N985" s="899"/>
      <c r="O985" s="899"/>
      <c r="P985" s="899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896"/>
      <c r="E986" s="677"/>
      <c r="F986" s="677"/>
      <c r="G986" s="677"/>
      <c r="H986" s="897"/>
      <c r="I986" s="898"/>
      <c r="J986" s="898"/>
      <c r="K986" s="899"/>
      <c r="L986" s="899"/>
      <c r="M986" s="899"/>
      <c r="N986" s="899"/>
      <c r="O986" s="899"/>
      <c r="P986" s="899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896"/>
      <c r="E987" s="677"/>
      <c r="F987" s="677"/>
      <c r="G987" s="677"/>
      <c r="H987" s="897"/>
      <c r="I987" s="898"/>
      <c r="J987" s="898"/>
      <c r="K987" s="899"/>
      <c r="L987" s="899"/>
      <c r="M987" s="899"/>
      <c r="N987" s="899"/>
      <c r="O987" s="899"/>
      <c r="P987" s="899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896"/>
      <c r="E988" s="677"/>
      <c r="F988" s="677"/>
      <c r="G988" s="677"/>
      <c r="H988" s="897"/>
      <c r="I988" s="898"/>
      <c r="J988" s="898"/>
      <c r="K988" s="899"/>
      <c r="L988" s="899"/>
      <c r="M988" s="899"/>
      <c r="N988" s="899"/>
      <c r="O988" s="899"/>
      <c r="P988" s="899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896"/>
      <c r="E989" s="677"/>
      <c r="F989" s="677"/>
      <c r="G989" s="677"/>
      <c r="H989" s="897"/>
      <c r="I989" s="898"/>
      <c r="J989" s="898"/>
      <c r="K989" s="899"/>
      <c r="L989" s="899"/>
      <c r="M989" s="899"/>
      <c r="N989" s="899"/>
      <c r="O989" s="899"/>
      <c r="P989" s="899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896"/>
      <c r="E990" s="677"/>
      <c r="F990" s="677"/>
      <c r="G990" s="677"/>
      <c r="H990" s="897"/>
      <c r="I990" s="898"/>
      <c r="J990" s="898"/>
      <c r="K990" s="899"/>
      <c r="L990" s="899"/>
      <c r="M990" s="899"/>
      <c r="N990" s="899"/>
      <c r="O990" s="899"/>
      <c r="P990" s="899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896"/>
      <c r="E991" s="677"/>
      <c r="F991" s="677"/>
      <c r="G991" s="677"/>
      <c r="H991" s="897"/>
      <c r="I991" s="898"/>
      <c r="J991" s="898"/>
      <c r="K991" s="899"/>
      <c r="L991" s="899"/>
      <c r="M991" s="899"/>
      <c r="N991" s="899"/>
      <c r="O991" s="899"/>
      <c r="P991" s="899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896"/>
      <c r="E992" s="677"/>
      <c r="F992" s="677"/>
      <c r="G992" s="677"/>
      <c r="H992" s="897"/>
      <c r="I992" s="898"/>
      <c r="J992" s="898"/>
      <c r="K992" s="899"/>
      <c r="L992" s="899"/>
      <c r="M992" s="899"/>
      <c r="N992" s="899"/>
      <c r="O992" s="899"/>
      <c r="P992" s="899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896"/>
      <c r="E993" s="677"/>
      <c r="F993" s="677"/>
      <c r="G993" s="677"/>
      <c r="H993" s="897"/>
      <c r="I993" s="898"/>
      <c r="J993" s="898"/>
      <c r="K993" s="899"/>
      <c r="L993" s="899"/>
      <c r="M993" s="899"/>
      <c r="N993" s="899"/>
      <c r="O993" s="899"/>
      <c r="P993" s="899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896"/>
      <c r="E994" s="677"/>
      <c r="F994" s="677"/>
      <c r="G994" s="677"/>
      <c r="H994" s="897"/>
      <c r="I994" s="898"/>
      <c r="J994" s="898"/>
      <c r="K994" s="899"/>
      <c r="L994" s="899"/>
      <c r="M994" s="899"/>
      <c r="N994" s="899"/>
      <c r="O994" s="899"/>
      <c r="P994" s="899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896"/>
      <c r="E995" s="677"/>
      <c r="F995" s="677"/>
      <c r="G995" s="677"/>
      <c r="H995" s="897"/>
      <c r="I995" s="898"/>
      <c r="J995" s="898"/>
      <c r="K995" s="899"/>
      <c r="L995" s="899"/>
      <c r="M995" s="899"/>
      <c r="N995" s="899"/>
      <c r="O995" s="899"/>
      <c r="P995" s="899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896"/>
      <c r="E996" s="677"/>
      <c r="F996" s="677"/>
      <c r="G996" s="677"/>
      <c r="H996" s="897"/>
      <c r="I996" s="898"/>
      <c r="J996" s="898"/>
      <c r="K996" s="899"/>
      <c r="L996" s="899"/>
      <c r="M996" s="899"/>
      <c r="N996" s="899"/>
      <c r="O996" s="899"/>
      <c r="P996" s="899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896"/>
      <c r="E997" s="677"/>
      <c r="F997" s="677"/>
      <c r="G997" s="677"/>
      <c r="H997" s="897"/>
      <c r="I997" s="898"/>
      <c r="J997" s="898"/>
      <c r="K997" s="899"/>
      <c r="L997" s="899"/>
      <c r="M997" s="899"/>
      <c r="N997" s="899"/>
      <c r="O997" s="899"/>
      <c r="P997" s="899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896"/>
      <c r="E998" s="677"/>
      <c r="F998" s="677"/>
      <c r="G998" s="677"/>
      <c r="H998" s="897"/>
      <c r="I998" s="898"/>
      <c r="J998" s="898"/>
      <c r="K998" s="899"/>
      <c r="L998" s="899"/>
      <c r="M998" s="899"/>
      <c r="N998" s="899"/>
      <c r="O998" s="899"/>
      <c r="P998" s="899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896"/>
      <c r="E999" s="677"/>
      <c r="F999" s="677"/>
      <c r="G999" s="677"/>
      <c r="H999" s="897"/>
      <c r="I999" s="898"/>
      <c r="J999" s="898"/>
      <c r="K999" s="899"/>
      <c r="L999" s="899"/>
      <c r="M999" s="899"/>
      <c r="N999" s="899"/>
      <c r="O999" s="899"/>
      <c r="P999" s="899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896"/>
      <c r="E1000" s="677"/>
      <c r="F1000" s="677"/>
      <c r="G1000" s="677"/>
      <c r="H1000" s="897"/>
      <c r="I1000" s="898"/>
      <c r="J1000" s="898"/>
      <c r="K1000" s="899"/>
      <c r="L1000" s="899"/>
      <c r="M1000" s="899"/>
      <c r="N1000" s="899"/>
      <c r="O1000" s="899"/>
      <c r="P1000" s="899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896"/>
      <c r="E1001" s="677"/>
      <c r="F1001" s="677"/>
      <c r="G1001" s="677"/>
      <c r="H1001" s="897"/>
      <c r="I1001" s="898"/>
      <c r="J1001" s="898"/>
      <c r="K1001" s="899"/>
      <c r="L1001" s="899"/>
      <c r="M1001" s="899"/>
      <c r="N1001" s="899"/>
      <c r="O1001" s="899"/>
      <c r="P1001" s="899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896"/>
      <c r="E1002" s="677"/>
      <c r="F1002" s="677"/>
      <c r="G1002" s="677"/>
      <c r="H1002" s="897"/>
      <c r="I1002" s="898"/>
      <c r="J1002" s="898"/>
      <c r="K1002" s="899"/>
      <c r="L1002" s="899"/>
      <c r="M1002" s="899"/>
      <c r="N1002" s="899"/>
      <c r="O1002" s="899"/>
      <c r="P1002" s="899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896"/>
      <c r="E1003" s="677"/>
      <c r="F1003" s="677"/>
      <c r="G1003" s="677"/>
      <c r="H1003" s="897"/>
      <c r="I1003" s="898"/>
      <c r="J1003" s="898"/>
      <c r="K1003" s="899"/>
      <c r="L1003" s="899"/>
      <c r="M1003" s="899"/>
      <c r="N1003" s="899"/>
      <c r="O1003" s="899"/>
      <c r="P1003" s="899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896"/>
      <c r="E1004" s="677"/>
      <c r="F1004" s="677"/>
      <c r="G1004" s="677"/>
      <c r="H1004" s="897"/>
      <c r="I1004" s="898"/>
      <c r="J1004" s="898"/>
      <c r="K1004" s="899"/>
      <c r="L1004" s="899"/>
      <c r="M1004" s="899"/>
      <c r="N1004" s="899"/>
      <c r="O1004" s="899"/>
      <c r="P1004" s="899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896"/>
      <c r="E1005" s="677"/>
      <c r="F1005" s="677"/>
      <c r="G1005" s="677"/>
      <c r="H1005" s="897"/>
      <c r="I1005" s="898"/>
      <c r="J1005" s="898"/>
      <c r="K1005" s="899"/>
      <c r="L1005" s="899"/>
      <c r="M1005" s="899"/>
      <c r="N1005" s="899"/>
      <c r="O1005" s="899"/>
      <c r="P1005" s="899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896"/>
      <c r="E1006" s="677"/>
      <c r="F1006" s="677"/>
      <c r="G1006" s="677"/>
      <c r="H1006" s="897"/>
      <c r="I1006" s="898"/>
      <c r="J1006" s="898"/>
      <c r="K1006" s="899"/>
      <c r="L1006" s="899"/>
      <c r="M1006" s="899"/>
      <c r="N1006" s="899"/>
      <c r="O1006" s="899"/>
      <c r="P1006" s="899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896"/>
      <c r="E1007" s="677"/>
      <c r="F1007" s="677"/>
      <c r="G1007" s="677"/>
      <c r="H1007" s="897"/>
      <c r="I1007" s="898"/>
      <c r="J1007" s="898"/>
      <c r="K1007" s="899"/>
      <c r="L1007" s="899"/>
      <c r="M1007" s="899"/>
      <c r="N1007" s="899"/>
      <c r="O1007" s="899"/>
      <c r="P1007" s="899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896"/>
      <c r="E1008" s="677"/>
      <c r="F1008" s="677"/>
      <c r="G1008" s="677"/>
      <c r="H1008" s="897"/>
      <c r="I1008" s="898"/>
      <c r="J1008" s="898"/>
      <c r="K1008" s="899"/>
      <c r="L1008" s="899"/>
      <c r="M1008" s="899"/>
      <c r="N1008" s="899"/>
      <c r="O1008" s="899"/>
      <c r="P1008" s="899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896"/>
      <c r="E1009" s="677"/>
      <c r="F1009" s="677"/>
      <c r="G1009" s="677"/>
      <c r="H1009" s="897"/>
      <c r="I1009" s="898"/>
      <c r="J1009" s="898"/>
      <c r="K1009" s="899"/>
      <c r="L1009" s="899"/>
      <c r="M1009" s="899"/>
      <c r="N1009" s="899"/>
      <c r="O1009" s="899"/>
      <c r="P1009" s="899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896"/>
      <c r="E1010" s="677"/>
      <c r="F1010" s="677"/>
      <c r="G1010" s="677"/>
      <c r="H1010" s="897"/>
      <c r="I1010" s="898"/>
      <c r="J1010" s="898"/>
      <c r="K1010" s="899"/>
      <c r="L1010" s="899"/>
      <c r="M1010" s="899"/>
      <c r="N1010" s="899"/>
      <c r="O1010" s="899"/>
      <c r="P1010" s="899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896"/>
      <c r="E1011" s="677"/>
      <c r="F1011" s="677"/>
      <c r="G1011" s="677"/>
      <c r="H1011" s="897"/>
      <c r="I1011" s="898"/>
      <c r="J1011" s="898"/>
      <c r="K1011" s="899"/>
      <c r="L1011" s="899"/>
      <c r="M1011" s="899"/>
      <c r="N1011" s="899"/>
      <c r="O1011" s="899"/>
      <c r="P1011" s="899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896"/>
      <c r="E1012" s="677"/>
      <c r="F1012" s="677"/>
      <c r="G1012" s="677"/>
      <c r="H1012" s="897"/>
      <c r="I1012" s="898"/>
      <c r="J1012" s="898"/>
      <c r="K1012" s="899"/>
      <c r="L1012" s="899"/>
      <c r="M1012" s="899"/>
      <c r="N1012" s="899"/>
      <c r="O1012" s="899"/>
      <c r="P1012" s="899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896"/>
      <c r="E1013" s="677"/>
      <c r="F1013" s="677"/>
      <c r="G1013" s="677"/>
      <c r="H1013" s="897"/>
      <c r="I1013" s="898"/>
      <c r="J1013" s="898"/>
      <c r="K1013" s="899"/>
      <c r="L1013" s="899"/>
      <c r="M1013" s="899"/>
      <c r="N1013" s="899"/>
      <c r="O1013" s="899"/>
      <c r="P1013" s="899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896"/>
      <c r="E1014" s="677"/>
      <c r="F1014" s="677"/>
      <c r="G1014" s="677"/>
      <c r="H1014" s="897"/>
      <c r="I1014" s="898"/>
      <c r="J1014" s="898"/>
      <c r="K1014" s="899"/>
      <c r="L1014" s="899"/>
      <c r="M1014" s="899"/>
      <c r="N1014" s="899"/>
      <c r="O1014" s="899"/>
      <c r="P1014" s="899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896"/>
      <c r="E1015" s="677"/>
      <c r="F1015" s="677"/>
      <c r="G1015" s="677"/>
      <c r="H1015" s="897"/>
      <c r="I1015" s="898"/>
      <c r="J1015" s="898"/>
      <c r="K1015" s="899"/>
      <c r="L1015" s="899"/>
      <c r="M1015" s="899"/>
      <c r="N1015" s="899"/>
      <c r="O1015" s="899"/>
      <c r="P1015" s="899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896"/>
      <c r="E1016" s="677"/>
      <c r="F1016" s="677"/>
      <c r="G1016" s="677"/>
      <c r="H1016" s="897"/>
      <c r="I1016" s="898"/>
      <c r="J1016" s="898"/>
      <c r="K1016" s="899"/>
      <c r="L1016" s="899"/>
      <c r="M1016" s="899"/>
      <c r="N1016" s="899"/>
      <c r="O1016" s="899"/>
      <c r="P1016" s="899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896"/>
      <c r="E1017" s="677"/>
      <c r="F1017" s="677"/>
      <c r="G1017" s="677"/>
      <c r="H1017" s="897"/>
      <c r="I1017" s="898"/>
      <c r="J1017" s="898"/>
      <c r="K1017" s="899"/>
      <c r="L1017" s="899"/>
      <c r="M1017" s="899"/>
      <c r="N1017" s="899"/>
      <c r="O1017" s="899"/>
      <c r="P1017" s="899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896"/>
      <c r="E1018" s="677"/>
      <c r="F1018" s="677"/>
      <c r="G1018" s="677"/>
      <c r="H1018" s="897"/>
      <c r="I1018" s="898"/>
      <c r="J1018" s="898"/>
      <c r="K1018" s="899"/>
      <c r="L1018" s="899"/>
      <c r="M1018" s="899"/>
      <c r="N1018" s="899"/>
      <c r="O1018" s="899"/>
      <c r="P1018" s="899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896"/>
      <c r="E1019" s="677"/>
      <c r="F1019" s="677"/>
      <c r="G1019" s="677"/>
      <c r="H1019" s="897"/>
      <c r="I1019" s="898"/>
      <c r="J1019" s="898"/>
      <c r="K1019" s="899"/>
      <c r="L1019" s="899"/>
      <c r="M1019" s="899"/>
      <c r="N1019" s="899"/>
      <c r="O1019" s="899"/>
      <c r="P1019" s="899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896"/>
      <c r="E1020" s="677"/>
      <c r="F1020" s="677"/>
      <c r="G1020" s="677"/>
      <c r="H1020" s="897"/>
      <c r="I1020" s="898"/>
      <c r="J1020" s="898"/>
      <c r="K1020" s="899"/>
      <c r="L1020" s="899"/>
      <c r="M1020" s="899"/>
      <c r="N1020" s="899"/>
      <c r="O1020" s="899"/>
      <c r="P1020" s="899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896"/>
      <c r="E1021" s="677"/>
      <c r="F1021" s="677"/>
      <c r="G1021" s="677"/>
      <c r="H1021" s="897"/>
      <c r="I1021" s="898"/>
      <c r="J1021" s="898"/>
      <c r="K1021" s="899"/>
      <c r="L1021" s="899"/>
      <c r="M1021" s="899"/>
      <c r="N1021" s="899"/>
      <c r="O1021" s="899"/>
      <c r="P1021" s="899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896"/>
      <c r="E1022" s="677"/>
      <c r="F1022" s="677"/>
      <c r="G1022" s="677"/>
      <c r="H1022" s="897"/>
      <c r="I1022" s="898"/>
      <c r="J1022" s="898"/>
      <c r="K1022" s="899"/>
      <c r="L1022" s="899"/>
      <c r="M1022" s="899"/>
      <c r="N1022" s="899"/>
      <c r="O1022" s="899"/>
      <c r="P1022" s="899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896"/>
      <c r="E1023" s="677"/>
      <c r="F1023" s="677"/>
      <c r="G1023" s="677"/>
      <c r="H1023" s="897"/>
      <c r="I1023" s="898"/>
      <c r="J1023" s="898"/>
      <c r="K1023" s="899"/>
      <c r="L1023" s="899"/>
      <c r="M1023" s="899"/>
      <c r="N1023" s="899"/>
      <c r="O1023" s="899"/>
      <c r="P1023" s="899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896"/>
      <c r="E1024" s="677"/>
      <c r="F1024" s="677"/>
      <c r="G1024" s="677"/>
      <c r="H1024" s="897"/>
      <c r="I1024" s="898"/>
      <c r="J1024" s="898"/>
      <c r="K1024" s="899"/>
      <c r="L1024" s="899"/>
      <c r="M1024" s="899"/>
      <c r="N1024" s="899"/>
      <c r="O1024" s="899"/>
      <c r="P1024" s="899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896"/>
      <c r="E1025" s="677"/>
      <c r="F1025" s="677"/>
      <c r="G1025" s="677"/>
      <c r="H1025" s="897"/>
      <c r="I1025" s="898"/>
      <c r="J1025" s="898"/>
      <c r="K1025" s="899"/>
      <c r="L1025" s="899"/>
      <c r="M1025" s="899"/>
      <c r="N1025" s="899"/>
      <c r="O1025" s="899"/>
      <c r="P1025" s="899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896"/>
      <c r="E1026" s="677"/>
      <c r="F1026" s="677"/>
      <c r="G1026" s="677"/>
      <c r="H1026" s="897"/>
      <c r="I1026" s="898"/>
      <c r="J1026" s="898"/>
      <c r="K1026" s="899"/>
      <c r="L1026" s="899"/>
      <c r="M1026" s="899"/>
      <c r="N1026" s="899"/>
      <c r="O1026" s="899"/>
      <c r="P1026" s="899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896"/>
      <c r="E1027" s="677"/>
      <c r="F1027" s="677"/>
      <c r="G1027" s="677"/>
      <c r="H1027" s="897"/>
      <c r="I1027" s="898"/>
      <c r="J1027" s="898"/>
      <c r="K1027" s="899"/>
      <c r="L1027" s="899"/>
      <c r="M1027" s="899"/>
      <c r="N1027" s="899"/>
      <c r="O1027" s="899"/>
      <c r="P1027" s="899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896"/>
      <c r="E1028" s="677"/>
      <c r="F1028" s="677"/>
      <c r="G1028" s="677"/>
      <c r="H1028" s="897"/>
      <c r="I1028" s="898"/>
      <c r="J1028" s="898"/>
      <c r="K1028" s="899"/>
      <c r="L1028" s="899"/>
      <c r="M1028" s="899"/>
      <c r="N1028" s="899"/>
      <c r="O1028" s="899"/>
      <c r="P1028" s="899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896"/>
      <c r="E1029" s="677"/>
      <c r="F1029" s="677"/>
      <c r="G1029" s="677"/>
      <c r="H1029" s="897"/>
      <c r="I1029" s="898"/>
      <c r="J1029" s="898"/>
      <c r="K1029" s="899"/>
      <c r="L1029" s="899"/>
      <c r="M1029" s="899"/>
      <c r="N1029" s="899"/>
      <c r="O1029" s="899"/>
      <c r="P1029" s="899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896"/>
      <c r="E1030" s="677"/>
      <c r="F1030" s="677"/>
      <c r="G1030" s="677"/>
      <c r="H1030" s="897"/>
      <c r="I1030" s="898"/>
      <c r="J1030" s="898"/>
      <c r="K1030" s="899"/>
      <c r="L1030" s="899"/>
      <c r="M1030" s="899"/>
      <c r="N1030" s="899"/>
      <c r="O1030" s="899"/>
      <c r="P1030" s="899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896"/>
      <c r="E1031" s="677"/>
      <c r="F1031" s="677"/>
      <c r="G1031" s="677"/>
      <c r="H1031" s="897"/>
      <c r="I1031" s="898"/>
      <c r="J1031" s="898"/>
      <c r="K1031" s="899"/>
      <c r="L1031" s="899"/>
      <c r="M1031" s="899"/>
      <c r="N1031" s="899"/>
      <c r="O1031" s="899"/>
      <c r="P1031" s="899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896"/>
      <c r="E1032" s="677"/>
      <c r="F1032" s="677"/>
      <c r="G1032" s="677"/>
      <c r="H1032" s="897"/>
      <c r="I1032" s="898"/>
      <c r="J1032" s="898"/>
      <c r="K1032" s="899"/>
      <c r="L1032" s="899"/>
      <c r="M1032" s="899"/>
      <c r="N1032" s="899"/>
      <c r="O1032" s="899"/>
      <c r="P1032" s="899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896"/>
      <c r="E1033" s="677"/>
      <c r="F1033" s="677"/>
      <c r="G1033" s="677"/>
      <c r="H1033" s="897"/>
      <c r="I1033" s="898"/>
      <c r="J1033" s="898"/>
      <c r="K1033" s="899"/>
      <c r="L1033" s="899"/>
      <c r="M1033" s="899"/>
      <c r="N1033" s="899"/>
      <c r="O1033" s="899"/>
      <c r="P1033" s="899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896"/>
      <c r="E1034" s="677"/>
      <c r="F1034" s="677"/>
      <c r="G1034" s="677"/>
      <c r="H1034" s="897"/>
      <c r="I1034" s="898"/>
      <c r="J1034" s="898"/>
      <c r="K1034" s="899"/>
      <c r="L1034" s="899"/>
      <c r="M1034" s="899"/>
      <c r="N1034" s="899"/>
      <c r="O1034" s="899"/>
      <c r="P1034" s="899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896"/>
      <c r="E1035" s="677"/>
      <c r="F1035" s="677"/>
      <c r="G1035" s="677"/>
      <c r="H1035" s="897"/>
      <c r="I1035" s="898"/>
      <c r="J1035" s="898"/>
      <c r="K1035" s="899"/>
      <c r="L1035" s="899"/>
      <c r="M1035" s="899"/>
      <c r="N1035" s="899"/>
      <c r="O1035" s="899"/>
      <c r="P1035" s="899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896"/>
      <c r="E1036" s="677"/>
      <c r="F1036" s="677"/>
      <c r="G1036" s="677"/>
      <c r="H1036" s="897"/>
      <c r="I1036" s="898"/>
      <c r="J1036" s="898"/>
      <c r="K1036" s="899"/>
      <c r="L1036" s="899"/>
      <c r="M1036" s="899"/>
      <c r="N1036" s="899"/>
      <c r="O1036" s="899"/>
      <c r="P1036" s="899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896"/>
      <c r="E1037" s="677"/>
      <c r="F1037" s="677"/>
      <c r="G1037" s="677"/>
      <c r="H1037" s="897"/>
      <c r="I1037" s="898"/>
      <c r="J1037" s="898"/>
      <c r="K1037" s="899"/>
      <c r="L1037" s="899"/>
      <c r="M1037" s="899"/>
      <c r="N1037" s="899"/>
      <c r="O1037" s="899"/>
      <c r="P1037" s="899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896"/>
      <c r="E1038" s="677"/>
      <c r="F1038" s="677"/>
      <c r="G1038" s="677"/>
      <c r="H1038" s="897"/>
      <c r="I1038" s="898"/>
      <c r="J1038" s="898"/>
      <c r="K1038" s="899"/>
      <c r="L1038" s="899"/>
      <c r="M1038" s="899"/>
      <c r="N1038" s="899"/>
      <c r="O1038" s="899"/>
      <c r="P1038" s="899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896"/>
      <c r="E1039" s="677"/>
      <c r="F1039" s="677"/>
      <c r="G1039" s="677"/>
      <c r="H1039" s="897"/>
      <c r="I1039" s="898"/>
      <c r="J1039" s="898"/>
      <c r="K1039" s="899"/>
      <c r="L1039" s="899"/>
      <c r="M1039" s="899"/>
      <c r="N1039" s="899"/>
      <c r="O1039" s="899"/>
      <c r="P1039" s="899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896"/>
      <c r="E1040" s="677"/>
      <c r="F1040" s="677"/>
      <c r="G1040" s="677"/>
      <c r="H1040" s="897"/>
      <c r="I1040" s="898"/>
      <c r="J1040" s="898"/>
      <c r="K1040" s="899"/>
      <c r="L1040" s="899"/>
      <c r="M1040" s="899"/>
      <c r="N1040" s="899"/>
      <c r="O1040" s="899"/>
      <c r="P1040" s="899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896"/>
      <c r="E1041" s="677"/>
      <c r="F1041" s="677"/>
      <c r="G1041" s="677"/>
      <c r="H1041" s="897"/>
      <c r="I1041" s="898"/>
      <c r="J1041" s="898"/>
      <c r="K1041" s="899"/>
      <c r="L1041" s="899"/>
      <c r="M1041" s="899"/>
      <c r="N1041" s="899"/>
      <c r="O1041" s="899"/>
      <c r="P1041" s="899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896"/>
      <c r="E1042" s="677"/>
      <c r="F1042" s="677"/>
      <c r="G1042" s="677"/>
      <c r="H1042" s="897"/>
      <c r="I1042" s="898"/>
      <c r="J1042" s="898"/>
      <c r="K1042" s="899"/>
      <c r="L1042" s="899"/>
      <c r="M1042" s="899"/>
      <c r="N1042" s="899"/>
      <c r="O1042" s="899"/>
      <c r="P1042" s="899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896"/>
      <c r="E1043" s="677"/>
      <c r="F1043" s="677"/>
      <c r="G1043" s="677"/>
      <c r="H1043" s="897"/>
      <c r="I1043" s="898"/>
      <c r="J1043" s="898"/>
      <c r="K1043" s="899"/>
      <c r="L1043" s="899"/>
      <c r="M1043" s="899"/>
      <c r="N1043" s="899"/>
      <c r="O1043" s="899"/>
      <c r="P1043" s="899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896"/>
      <c r="E1044" s="677"/>
      <c r="F1044" s="677"/>
      <c r="G1044" s="677"/>
      <c r="H1044" s="897"/>
      <c r="I1044" s="898"/>
      <c r="J1044" s="898"/>
      <c r="K1044" s="899"/>
      <c r="L1044" s="899"/>
      <c r="M1044" s="899"/>
      <c r="N1044" s="899"/>
      <c r="O1044" s="899"/>
      <c r="P1044" s="899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896"/>
      <c r="E1045" s="677"/>
      <c r="F1045" s="677"/>
      <c r="G1045" s="677"/>
      <c r="H1045" s="897"/>
      <c r="I1045" s="898"/>
      <c r="J1045" s="898"/>
      <c r="K1045" s="899"/>
      <c r="L1045" s="899"/>
      <c r="M1045" s="899"/>
      <c r="N1045" s="899"/>
      <c r="O1045" s="899"/>
      <c r="P1045" s="899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896"/>
      <c r="E1046" s="677"/>
      <c r="F1046" s="677"/>
      <c r="G1046" s="677"/>
      <c r="H1046" s="897"/>
      <c r="I1046" s="898"/>
      <c r="J1046" s="898"/>
      <c r="K1046" s="899"/>
      <c r="L1046" s="899"/>
      <c r="M1046" s="899"/>
      <c r="N1046" s="899"/>
      <c r="O1046" s="899"/>
      <c r="P1046" s="899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896"/>
      <c r="E1047" s="677"/>
      <c r="F1047" s="677"/>
      <c r="G1047" s="677"/>
      <c r="H1047" s="897"/>
      <c r="I1047" s="898"/>
      <c r="J1047" s="898"/>
      <c r="K1047" s="899"/>
      <c r="L1047" s="899"/>
      <c r="M1047" s="899"/>
      <c r="N1047" s="899"/>
      <c r="O1047" s="899"/>
      <c r="P1047" s="899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896"/>
      <c r="E1048" s="677"/>
      <c r="F1048" s="677"/>
      <c r="G1048" s="677"/>
      <c r="H1048" s="897"/>
      <c r="I1048" s="898"/>
      <c r="J1048" s="898"/>
      <c r="K1048" s="899"/>
      <c r="L1048" s="899"/>
      <c r="M1048" s="899"/>
      <c r="N1048" s="899"/>
      <c r="O1048" s="899"/>
      <c r="P1048" s="899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896"/>
      <c r="E1049" s="677"/>
      <c r="F1049" s="677"/>
      <c r="G1049" s="677"/>
      <c r="H1049" s="897"/>
      <c r="I1049" s="898"/>
      <c r="J1049" s="898"/>
      <c r="K1049" s="899"/>
      <c r="L1049" s="899"/>
      <c r="M1049" s="899"/>
      <c r="N1049" s="899"/>
      <c r="O1049" s="899"/>
      <c r="P1049" s="899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896"/>
      <c r="E1050" s="677"/>
      <c r="F1050" s="677"/>
      <c r="G1050" s="677"/>
      <c r="H1050" s="897"/>
      <c r="I1050" s="898"/>
      <c r="J1050" s="898"/>
      <c r="K1050" s="899"/>
      <c r="L1050" s="899"/>
      <c r="M1050" s="899"/>
      <c r="N1050" s="899"/>
      <c r="O1050" s="899"/>
      <c r="P1050" s="899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896"/>
      <c r="E1051" s="677"/>
      <c r="F1051" s="677"/>
      <c r="G1051" s="677"/>
      <c r="H1051" s="897"/>
      <c r="I1051" s="898"/>
      <c r="J1051" s="898"/>
      <c r="K1051" s="899"/>
      <c r="L1051" s="899"/>
      <c r="M1051" s="899"/>
      <c r="N1051" s="899"/>
      <c r="O1051" s="899"/>
      <c r="P1051" s="899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896"/>
      <c r="E1052" s="677"/>
      <c r="F1052" s="677"/>
      <c r="G1052" s="677"/>
      <c r="H1052" s="897"/>
      <c r="I1052" s="898"/>
      <c r="J1052" s="898"/>
      <c r="K1052" s="899"/>
      <c r="L1052" s="899"/>
      <c r="M1052" s="899"/>
      <c r="N1052" s="899"/>
      <c r="O1052" s="899"/>
      <c r="P1052" s="899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896"/>
      <c r="E1053" s="677"/>
      <c r="F1053" s="677"/>
      <c r="G1053" s="677"/>
      <c r="H1053" s="897"/>
      <c r="I1053" s="898"/>
      <c r="J1053" s="898"/>
      <c r="K1053" s="899"/>
      <c r="L1053" s="899"/>
      <c r="M1053" s="899"/>
      <c r="N1053" s="899"/>
      <c r="O1053" s="899"/>
      <c r="P1053" s="899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896"/>
      <c r="E1054" s="677"/>
      <c r="F1054" s="677"/>
      <c r="G1054" s="677"/>
      <c r="H1054" s="897"/>
      <c r="I1054" s="898"/>
      <c r="J1054" s="898"/>
      <c r="K1054" s="899"/>
      <c r="L1054" s="899"/>
      <c r="M1054" s="899"/>
      <c r="N1054" s="899"/>
      <c r="O1054" s="899"/>
      <c r="P1054" s="899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896"/>
      <c r="E1055" s="677"/>
      <c r="F1055" s="677"/>
      <c r="G1055" s="677"/>
      <c r="H1055" s="897"/>
      <c r="I1055" s="898"/>
      <c r="J1055" s="898"/>
      <c r="K1055" s="899"/>
      <c r="L1055" s="899"/>
      <c r="M1055" s="899"/>
      <c r="N1055" s="899"/>
      <c r="O1055" s="899"/>
      <c r="P1055" s="899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896"/>
      <c r="E1056" s="677"/>
      <c r="F1056" s="677"/>
      <c r="G1056" s="677"/>
      <c r="H1056" s="897"/>
      <c r="I1056" s="898"/>
      <c r="J1056" s="898"/>
      <c r="K1056" s="899"/>
      <c r="L1056" s="899"/>
      <c r="M1056" s="899"/>
      <c r="N1056" s="899"/>
      <c r="O1056" s="899"/>
      <c r="P1056" s="899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896"/>
      <c r="E1057" s="677"/>
      <c r="F1057" s="677"/>
      <c r="G1057" s="677"/>
      <c r="H1057" s="897"/>
      <c r="I1057" s="898"/>
      <c r="J1057" s="898"/>
      <c r="K1057" s="899"/>
      <c r="L1057" s="899"/>
      <c r="M1057" s="899"/>
      <c r="N1057" s="899"/>
      <c r="O1057" s="899"/>
      <c r="P1057" s="899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896"/>
      <c r="E1058" s="677"/>
      <c r="F1058" s="677"/>
      <c r="G1058" s="677"/>
      <c r="H1058" s="897"/>
      <c r="I1058" s="898"/>
      <c r="J1058" s="898"/>
      <c r="K1058" s="899"/>
      <c r="L1058" s="899"/>
      <c r="M1058" s="899"/>
      <c r="N1058" s="899"/>
      <c r="O1058" s="899"/>
      <c r="P1058" s="899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896"/>
      <c r="E1059" s="677"/>
      <c r="F1059" s="677"/>
      <c r="G1059" s="677"/>
      <c r="H1059" s="897"/>
      <c r="I1059" s="898"/>
      <c r="J1059" s="898"/>
      <c r="K1059" s="899"/>
      <c r="L1059" s="899"/>
      <c r="M1059" s="899"/>
      <c r="N1059" s="899"/>
      <c r="O1059" s="899"/>
      <c r="P1059" s="899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896"/>
      <c r="E1060" s="677"/>
      <c r="F1060" s="677"/>
      <c r="G1060" s="677"/>
      <c r="H1060" s="897"/>
      <c r="I1060" s="898"/>
      <c r="J1060" s="898"/>
      <c r="K1060" s="899"/>
      <c r="L1060" s="899"/>
      <c r="M1060" s="899"/>
      <c r="N1060" s="899"/>
      <c r="O1060" s="899"/>
      <c r="P1060" s="899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896"/>
      <c r="E1061" s="677"/>
      <c r="F1061" s="677"/>
      <c r="G1061" s="677"/>
      <c r="H1061" s="897"/>
      <c r="I1061" s="898"/>
      <c r="J1061" s="898"/>
      <c r="K1061" s="899"/>
      <c r="L1061" s="899"/>
      <c r="M1061" s="899"/>
      <c r="N1061" s="899"/>
      <c r="O1061" s="899"/>
      <c r="P1061" s="899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896"/>
      <c r="E1062" s="677"/>
      <c r="F1062" s="677"/>
      <c r="G1062" s="677"/>
      <c r="H1062" s="897"/>
      <c r="I1062" s="898"/>
      <c r="J1062" s="898"/>
      <c r="K1062" s="899"/>
      <c r="L1062" s="899"/>
      <c r="M1062" s="899"/>
      <c r="N1062" s="899"/>
      <c r="O1062" s="899"/>
      <c r="P1062" s="899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896"/>
      <c r="E1063" s="677"/>
      <c r="F1063" s="677"/>
      <c r="G1063" s="677"/>
      <c r="H1063" s="897"/>
      <c r="I1063" s="898"/>
      <c r="J1063" s="898"/>
      <c r="K1063" s="899"/>
      <c r="L1063" s="899"/>
      <c r="M1063" s="899"/>
      <c r="N1063" s="899"/>
      <c r="O1063" s="899"/>
      <c r="P1063" s="899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896"/>
      <c r="E1064" s="677"/>
      <c r="F1064" s="677"/>
      <c r="G1064" s="677"/>
      <c r="H1064" s="897"/>
      <c r="I1064" s="898"/>
      <c r="J1064" s="898"/>
      <c r="K1064" s="899"/>
      <c r="L1064" s="899"/>
      <c r="M1064" s="899"/>
      <c r="N1064" s="899"/>
      <c r="O1064" s="899"/>
      <c r="P1064" s="899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896"/>
      <c r="E1065" s="677"/>
      <c r="F1065" s="677"/>
      <c r="G1065" s="677"/>
      <c r="H1065" s="897"/>
      <c r="I1065" s="898"/>
      <c r="J1065" s="898"/>
      <c r="K1065" s="899"/>
      <c r="L1065" s="899"/>
      <c r="M1065" s="899"/>
      <c r="N1065" s="899"/>
      <c r="O1065" s="899"/>
      <c r="P1065" s="899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896"/>
      <c r="E1066" s="677"/>
      <c r="F1066" s="677"/>
      <c r="G1066" s="677"/>
      <c r="H1066" s="897"/>
      <c r="I1066" s="898"/>
      <c r="J1066" s="898"/>
      <c r="K1066" s="899"/>
      <c r="L1066" s="899"/>
      <c r="M1066" s="899"/>
      <c r="N1066" s="899"/>
      <c r="O1066" s="899"/>
      <c r="P1066" s="899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896"/>
      <c r="E1067" s="677"/>
      <c r="F1067" s="677"/>
      <c r="G1067" s="677"/>
      <c r="H1067" s="897"/>
      <c r="I1067" s="898"/>
      <c r="J1067" s="898"/>
      <c r="K1067" s="899"/>
      <c r="L1067" s="899"/>
      <c r="M1067" s="899"/>
      <c r="N1067" s="899"/>
      <c r="O1067" s="899"/>
      <c r="P1067" s="899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896"/>
      <c r="E1068" s="677"/>
      <c r="F1068" s="677"/>
      <c r="G1068" s="677"/>
      <c r="H1068" s="897"/>
      <c r="I1068" s="898"/>
      <c r="J1068" s="898"/>
      <c r="K1068" s="899"/>
      <c r="L1068" s="899"/>
      <c r="M1068" s="899"/>
      <c r="N1068" s="899"/>
      <c r="O1068" s="899"/>
      <c r="P1068" s="899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896"/>
      <c r="E1069" s="677"/>
      <c r="F1069" s="677"/>
      <c r="G1069" s="677"/>
      <c r="H1069" s="897"/>
      <c r="I1069" s="898"/>
      <c r="J1069" s="898"/>
      <c r="K1069" s="899"/>
      <c r="L1069" s="899"/>
      <c r="M1069" s="899"/>
      <c r="N1069" s="899"/>
      <c r="O1069" s="899"/>
      <c r="P1069" s="899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896"/>
      <c r="E1070" s="677"/>
      <c r="F1070" s="677"/>
      <c r="G1070" s="677"/>
      <c r="H1070" s="897"/>
      <c r="I1070" s="898"/>
      <c r="J1070" s="898"/>
      <c r="K1070" s="899"/>
      <c r="L1070" s="899"/>
      <c r="M1070" s="899"/>
      <c r="N1070" s="899"/>
      <c r="O1070" s="899"/>
      <c r="P1070" s="899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896"/>
      <c r="E1071" s="677"/>
      <c r="F1071" s="677"/>
      <c r="G1071" s="677"/>
      <c r="H1071" s="897"/>
      <c r="I1071" s="898"/>
      <c r="J1071" s="898"/>
      <c r="K1071" s="899"/>
      <c r="L1071" s="899"/>
      <c r="M1071" s="899"/>
      <c r="N1071" s="899"/>
      <c r="O1071" s="899"/>
      <c r="P1071" s="899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896"/>
      <c r="E1072" s="677"/>
      <c r="F1072" s="677"/>
      <c r="G1072" s="677"/>
      <c r="H1072" s="897"/>
      <c r="I1072" s="898"/>
      <c r="J1072" s="898"/>
      <c r="K1072" s="899"/>
      <c r="L1072" s="899"/>
      <c r="M1072" s="899"/>
      <c r="N1072" s="899"/>
      <c r="O1072" s="899"/>
      <c r="P1072" s="899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896"/>
      <c r="E1073" s="677"/>
      <c r="F1073" s="677"/>
      <c r="G1073" s="677"/>
      <c r="H1073" s="897"/>
      <c r="I1073" s="898"/>
      <c r="J1073" s="898"/>
      <c r="K1073" s="899"/>
      <c r="L1073" s="899"/>
      <c r="M1073" s="899"/>
      <c r="N1073" s="899"/>
      <c r="O1073" s="899"/>
      <c r="P1073" s="899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896"/>
      <c r="E1074" s="677"/>
      <c r="F1074" s="677"/>
      <c r="G1074" s="677"/>
      <c r="H1074" s="897"/>
      <c r="I1074" s="898"/>
      <c r="J1074" s="898"/>
      <c r="K1074" s="899"/>
      <c r="L1074" s="899"/>
      <c r="M1074" s="899"/>
      <c r="N1074" s="899"/>
      <c r="O1074" s="899"/>
      <c r="P1074" s="899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896"/>
      <c r="E1075" s="677"/>
      <c r="F1075" s="677"/>
      <c r="G1075" s="677"/>
      <c r="H1075" s="897"/>
      <c r="I1075" s="898"/>
      <c r="J1075" s="898"/>
      <c r="K1075" s="899"/>
      <c r="L1075" s="899"/>
      <c r="M1075" s="899"/>
      <c r="N1075" s="899"/>
      <c r="O1075" s="899"/>
      <c r="P1075" s="899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896"/>
      <c r="E1076" s="677"/>
      <c r="F1076" s="677"/>
      <c r="G1076" s="677"/>
      <c r="H1076" s="897"/>
      <c r="I1076" s="898"/>
      <c r="J1076" s="898"/>
      <c r="K1076" s="899"/>
      <c r="L1076" s="899"/>
      <c r="M1076" s="899"/>
      <c r="N1076" s="899"/>
      <c r="O1076" s="899"/>
      <c r="P1076" s="899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896"/>
      <c r="E1077" s="677"/>
      <c r="F1077" s="677"/>
      <c r="G1077" s="677"/>
      <c r="H1077" s="897"/>
      <c r="I1077" s="898"/>
      <c r="J1077" s="898"/>
      <c r="K1077" s="899"/>
      <c r="L1077" s="899"/>
      <c r="M1077" s="899"/>
      <c r="N1077" s="899"/>
      <c r="O1077" s="899"/>
      <c r="P1077" s="899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896"/>
      <c r="E1078" s="677"/>
      <c r="F1078" s="677"/>
      <c r="G1078" s="677"/>
      <c r="H1078" s="897"/>
      <c r="I1078" s="898"/>
      <c r="J1078" s="898"/>
      <c r="K1078" s="899"/>
      <c r="L1078" s="899"/>
      <c r="M1078" s="899"/>
      <c r="N1078" s="899"/>
      <c r="O1078" s="899"/>
      <c r="P1078" s="899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896"/>
      <c r="E1079" s="677"/>
      <c r="F1079" s="677"/>
      <c r="G1079" s="677"/>
      <c r="H1079" s="897"/>
      <c r="I1079" s="898"/>
      <c r="J1079" s="898"/>
      <c r="K1079" s="899"/>
      <c r="L1079" s="899"/>
      <c r="M1079" s="899"/>
      <c r="N1079" s="899"/>
      <c r="O1079" s="899"/>
      <c r="P1079" s="899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896"/>
      <c r="E1080" s="677"/>
      <c r="F1080" s="677"/>
      <c r="G1080" s="677"/>
      <c r="H1080" s="897"/>
      <c r="I1080" s="898"/>
      <c r="J1080" s="898"/>
      <c r="K1080" s="899"/>
      <c r="L1080" s="899"/>
      <c r="M1080" s="899"/>
      <c r="N1080" s="899"/>
      <c r="O1080" s="899"/>
      <c r="P1080" s="899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896"/>
      <c r="E1081" s="677"/>
      <c r="F1081" s="677"/>
      <c r="G1081" s="677"/>
      <c r="H1081" s="897"/>
      <c r="I1081" s="898"/>
      <c r="J1081" s="898"/>
      <c r="K1081" s="899"/>
      <c r="L1081" s="899"/>
      <c r="M1081" s="899"/>
      <c r="N1081" s="899"/>
      <c r="O1081" s="899"/>
      <c r="P1081" s="899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896"/>
      <c r="E1082" s="677"/>
      <c r="F1082" s="677"/>
      <c r="G1082" s="677"/>
      <c r="H1082" s="897"/>
      <c r="I1082" s="898"/>
      <c r="J1082" s="898"/>
      <c r="K1082" s="899"/>
      <c r="L1082" s="899"/>
      <c r="M1082" s="899"/>
      <c r="N1082" s="899"/>
      <c r="O1082" s="899"/>
      <c r="P1082" s="899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896"/>
      <c r="E1083" s="677"/>
      <c r="F1083" s="677"/>
      <c r="G1083" s="677"/>
      <c r="H1083" s="897"/>
      <c r="I1083" s="898"/>
      <c r="J1083" s="898"/>
      <c r="K1083" s="899"/>
      <c r="L1083" s="899"/>
      <c r="M1083" s="899"/>
      <c r="N1083" s="899"/>
      <c r="O1083" s="899"/>
      <c r="P1083" s="899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896"/>
      <c r="E1084" s="677"/>
      <c r="F1084" s="677"/>
      <c r="G1084" s="677"/>
      <c r="H1084" s="897"/>
      <c r="I1084" s="898"/>
      <c r="J1084" s="898"/>
      <c r="K1084" s="899"/>
      <c r="L1084" s="899"/>
      <c r="M1084" s="899"/>
      <c r="N1084" s="899"/>
      <c r="O1084" s="899"/>
      <c r="P1084" s="899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896"/>
      <c r="E1085" s="677"/>
      <c r="F1085" s="677"/>
      <c r="G1085" s="677"/>
      <c r="H1085" s="897"/>
      <c r="I1085" s="898"/>
      <c r="J1085" s="898"/>
      <c r="K1085" s="899"/>
      <c r="L1085" s="899"/>
      <c r="M1085" s="899"/>
      <c r="N1085" s="899"/>
      <c r="O1085" s="899"/>
      <c r="P1085" s="899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896"/>
      <c r="E1086" s="677"/>
      <c r="F1086" s="677"/>
      <c r="G1086" s="677"/>
      <c r="H1086" s="897"/>
      <c r="I1086" s="898"/>
      <c r="J1086" s="898"/>
      <c r="K1086" s="899"/>
      <c r="L1086" s="899"/>
      <c r="M1086" s="899"/>
      <c r="N1086" s="899"/>
      <c r="O1086" s="899"/>
      <c r="P1086" s="899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896"/>
      <c r="E1087" s="677"/>
      <c r="F1087" s="677"/>
      <c r="G1087" s="677"/>
      <c r="H1087" s="897"/>
      <c r="I1087" s="898"/>
      <c r="J1087" s="898"/>
      <c r="K1087" s="899"/>
      <c r="L1087" s="899"/>
      <c r="M1087" s="899"/>
      <c r="N1087" s="899"/>
      <c r="O1087" s="899"/>
      <c r="P1087" s="899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896"/>
      <c r="E1088" s="677"/>
      <c r="F1088" s="677"/>
      <c r="G1088" s="677"/>
      <c r="H1088" s="897"/>
      <c r="I1088" s="898"/>
      <c r="J1088" s="898"/>
      <c r="K1088" s="899"/>
      <c r="L1088" s="899"/>
      <c r="M1088" s="899"/>
      <c r="N1088" s="899"/>
      <c r="O1088" s="899"/>
      <c r="P1088" s="899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896"/>
      <c r="E1089" s="677"/>
      <c r="F1089" s="677"/>
      <c r="G1089" s="677"/>
      <c r="H1089" s="897"/>
      <c r="I1089" s="898"/>
      <c r="J1089" s="898"/>
      <c r="K1089" s="899"/>
      <c r="L1089" s="899"/>
      <c r="M1089" s="899"/>
      <c r="N1089" s="899"/>
      <c r="O1089" s="899"/>
      <c r="P1089" s="899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896"/>
      <c r="E1090" s="677"/>
      <c r="F1090" s="677"/>
      <c r="G1090" s="677"/>
      <c r="H1090" s="897"/>
      <c r="I1090" s="898"/>
      <c r="J1090" s="898"/>
      <c r="K1090" s="899"/>
      <c r="L1090" s="899"/>
      <c r="M1090" s="899"/>
      <c r="N1090" s="899"/>
      <c r="O1090" s="899"/>
      <c r="P1090" s="899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896"/>
      <c r="E1091" s="677"/>
      <c r="F1091" s="677"/>
      <c r="G1091" s="677"/>
      <c r="H1091" s="897"/>
      <c r="I1091" s="898"/>
      <c r="J1091" s="898"/>
      <c r="K1091" s="899"/>
      <c r="L1091" s="899"/>
      <c r="M1091" s="899"/>
      <c r="N1091" s="899"/>
      <c r="O1091" s="899"/>
      <c r="P1091" s="899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896"/>
      <c r="E1092" s="677"/>
      <c r="F1092" s="677"/>
      <c r="G1092" s="677"/>
      <c r="H1092" s="897"/>
      <c r="I1092" s="898"/>
      <c r="J1092" s="898"/>
      <c r="K1092" s="899"/>
      <c r="L1092" s="899"/>
      <c r="M1092" s="899"/>
      <c r="N1092" s="899"/>
      <c r="O1092" s="899"/>
      <c r="P1092" s="899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896"/>
      <c r="E1093" s="677"/>
      <c r="F1093" s="677"/>
      <c r="G1093" s="677"/>
      <c r="H1093" s="897"/>
      <c r="I1093" s="898"/>
      <c r="J1093" s="898"/>
      <c r="K1093" s="899"/>
      <c r="L1093" s="899"/>
      <c r="M1093" s="899"/>
      <c r="N1093" s="899"/>
      <c r="O1093" s="899"/>
      <c r="P1093" s="899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896"/>
      <c r="E1094" s="677"/>
      <c r="F1094" s="677"/>
      <c r="G1094" s="677"/>
      <c r="H1094" s="897"/>
      <c r="I1094" s="898"/>
      <c r="J1094" s="898"/>
      <c r="K1094" s="899"/>
      <c r="L1094" s="899"/>
      <c r="M1094" s="899"/>
      <c r="N1094" s="899"/>
      <c r="O1094" s="899"/>
      <c r="P1094" s="899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896"/>
      <c r="E1095" s="677"/>
      <c r="F1095" s="677"/>
      <c r="G1095" s="677"/>
      <c r="H1095" s="897"/>
      <c r="I1095" s="898"/>
      <c r="J1095" s="898"/>
      <c r="K1095" s="899"/>
      <c r="L1095" s="899"/>
      <c r="M1095" s="899"/>
      <c r="N1095" s="899"/>
      <c r="O1095" s="899"/>
      <c r="P1095" s="899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896"/>
      <c r="E1096" s="677"/>
      <c r="F1096" s="677"/>
      <c r="G1096" s="677"/>
      <c r="H1096" s="897"/>
      <c r="I1096" s="898"/>
      <c r="J1096" s="898"/>
      <c r="K1096" s="899"/>
      <c r="L1096" s="899"/>
      <c r="M1096" s="899"/>
      <c r="N1096" s="899"/>
      <c r="O1096" s="899"/>
      <c r="P1096" s="899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896"/>
      <c r="E1097" s="677"/>
      <c r="F1097" s="677"/>
      <c r="G1097" s="677"/>
      <c r="H1097" s="897"/>
      <c r="I1097" s="898"/>
      <c r="J1097" s="898"/>
      <c r="K1097" s="899"/>
      <c r="L1097" s="899"/>
      <c r="M1097" s="899"/>
      <c r="N1097" s="899"/>
      <c r="O1097" s="899"/>
      <c r="P1097" s="899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896"/>
      <c r="E1098" s="677"/>
      <c r="F1098" s="677"/>
      <c r="G1098" s="677"/>
      <c r="H1098" s="897"/>
      <c r="I1098" s="898"/>
      <c r="J1098" s="898"/>
      <c r="K1098" s="899"/>
      <c r="L1098" s="899"/>
      <c r="M1098" s="899"/>
      <c r="N1098" s="899"/>
      <c r="O1098" s="899"/>
      <c r="P1098" s="899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896"/>
      <c r="E1099" s="677"/>
      <c r="F1099" s="677"/>
      <c r="G1099" s="677"/>
      <c r="H1099" s="897"/>
      <c r="I1099" s="898"/>
      <c r="J1099" s="898"/>
      <c r="K1099" s="899"/>
      <c r="L1099" s="899"/>
      <c r="M1099" s="899"/>
      <c r="N1099" s="899"/>
      <c r="O1099" s="899"/>
      <c r="P1099" s="899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896"/>
      <c r="E1100" s="677"/>
      <c r="F1100" s="677"/>
      <c r="G1100" s="677"/>
      <c r="H1100" s="897"/>
      <c r="I1100" s="898"/>
      <c r="J1100" s="898"/>
      <c r="K1100" s="899"/>
      <c r="L1100" s="899"/>
      <c r="M1100" s="899"/>
      <c r="N1100" s="899"/>
      <c r="O1100" s="899"/>
      <c r="P1100" s="899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896"/>
      <c r="E1101" s="677"/>
      <c r="F1101" s="677"/>
      <c r="G1101" s="677"/>
      <c r="H1101" s="897"/>
      <c r="I1101" s="898"/>
      <c r="J1101" s="898"/>
      <c r="K1101" s="899"/>
      <c r="L1101" s="899"/>
      <c r="M1101" s="899"/>
      <c r="N1101" s="899"/>
      <c r="O1101" s="899"/>
      <c r="P1101" s="899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896"/>
      <c r="E1102" s="677"/>
      <c r="F1102" s="677"/>
      <c r="G1102" s="677"/>
      <c r="H1102" s="897"/>
      <c r="I1102" s="898"/>
      <c r="J1102" s="898"/>
      <c r="K1102" s="899"/>
      <c r="L1102" s="899"/>
      <c r="M1102" s="899"/>
      <c r="N1102" s="899"/>
      <c r="O1102" s="899"/>
      <c r="P1102" s="899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896"/>
      <c r="E1103" s="677"/>
      <c r="F1103" s="677"/>
      <c r="G1103" s="677"/>
      <c r="H1103" s="897"/>
      <c r="I1103" s="898"/>
      <c r="J1103" s="898"/>
      <c r="K1103" s="899"/>
      <c r="L1103" s="899"/>
      <c r="M1103" s="899"/>
      <c r="N1103" s="899"/>
      <c r="O1103" s="899"/>
      <c r="P1103" s="899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896"/>
      <c r="E1104" s="677"/>
      <c r="F1104" s="677"/>
      <c r="G1104" s="677"/>
      <c r="H1104" s="897"/>
      <c r="I1104" s="898"/>
      <c r="J1104" s="898"/>
      <c r="K1104" s="899"/>
      <c r="L1104" s="899"/>
      <c r="M1104" s="899"/>
      <c r="N1104" s="899"/>
      <c r="O1104" s="899"/>
      <c r="P1104" s="899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896"/>
      <c r="E1105" s="677"/>
      <c r="F1105" s="677"/>
      <c r="G1105" s="677"/>
      <c r="H1105" s="897"/>
      <c r="I1105" s="898"/>
      <c r="J1105" s="898"/>
      <c r="K1105" s="899"/>
      <c r="L1105" s="899"/>
      <c r="M1105" s="899"/>
      <c r="N1105" s="899"/>
      <c r="O1105" s="899"/>
      <c r="P1105" s="899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896"/>
      <c r="E1106" s="677"/>
      <c r="F1106" s="677"/>
      <c r="G1106" s="677"/>
      <c r="H1106" s="897"/>
      <c r="I1106" s="898"/>
      <c r="J1106" s="898"/>
      <c r="K1106" s="899"/>
      <c r="L1106" s="899"/>
      <c r="M1106" s="899"/>
      <c r="N1106" s="899"/>
      <c r="O1106" s="899"/>
      <c r="P1106" s="899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896"/>
      <c r="E1107" s="677"/>
      <c r="F1107" s="677"/>
      <c r="G1107" s="677"/>
      <c r="H1107" s="897"/>
      <c r="I1107" s="898"/>
      <c r="J1107" s="898"/>
      <c r="K1107" s="899"/>
      <c r="L1107" s="899"/>
      <c r="M1107" s="899"/>
      <c r="N1107" s="899"/>
      <c r="O1107" s="899"/>
      <c r="P1107" s="899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896"/>
      <c r="E1108" s="677"/>
      <c r="F1108" s="677"/>
      <c r="G1108" s="677"/>
      <c r="H1108" s="897"/>
      <c r="I1108" s="898"/>
      <c r="J1108" s="898"/>
      <c r="K1108" s="899"/>
      <c r="L1108" s="899"/>
      <c r="M1108" s="899"/>
      <c r="N1108" s="899"/>
      <c r="O1108" s="899"/>
      <c r="P1108" s="899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896"/>
      <c r="E1109" s="677"/>
      <c r="F1109" s="677"/>
      <c r="G1109" s="677"/>
      <c r="H1109" s="897"/>
      <c r="I1109" s="898"/>
      <c r="J1109" s="898"/>
      <c r="K1109" s="899"/>
      <c r="L1109" s="899"/>
      <c r="M1109" s="899"/>
      <c r="N1109" s="899"/>
      <c r="O1109" s="899"/>
      <c r="P1109" s="899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896"/>
      <c r="E1110" s="677"/>
      <c r="F1110" s="677"/>
      <c r="G1110" s="677"/>
      <c r="H1110" s="897"/>
      <c r="I1110" s="898"/>
      <c r="J1110" s="898"/>
      <c r="K1110" s="899"/>
      <c r="L1110" s="899"/>
      <c r="M1110" s="899"/>
      <c r="N1110" s="899"/>
      <c r="O1110" s="899"/>
      <c r="P1110" s="899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896"/>
      <c r="E1111" s="677"/>
      <c r="F1111" s="677"/>
      <c r="G1111" s="677"/>
      <c r="H1111" s="897"/>
      <c r="I1111" s="898"/>
      <c r="J1111" s="898"/>
      <c r="K1111" s="899"/>
      <c r="L1111" s="899"/>
      <c r="M1111" s="899"/>
      <c r="N1111" s="899"/>
      <c r="O1111" s="899"/>
      <c r="P1111" s="899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896"/>
      <c r="E1112" s="677"/>
      <c r="F1112" s="677"/>
      <c r="G1112" s="677"/>
      <c r="H1112" s="897"/>
      <c r="I1112" s="898"/>
      <c r="J1112" s="898"/>
      <c r="K1112" s="899"/>
      <c r="L1112" s="899"/>
      <c r="M1112" s="899"/>
      <c r="N1112" s="899"/>
      <c r="O1112" s="899"/>
      <c r="P1112" s="899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896"/>
      <c r="E1113" s="677"/>
      <c r="F1113" s="677"/>
      <c r="G1113" s="677"/>
      <c r="H1113" s="897"/>
      <c r="I1113" s="898"/>
      <c r="J1113" s="898"/>
      <c r="K1113" s="899"/>
      <c r="L1113" s="899"/>
      <c r="M1113" s="899"/>
      <c r="N1113" s="899"/>
      <c r="O1113" s="899"/>
      <c r="P1113" s="899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896"/>
      <c r="E1114" s="677"/>
      <c r="F1114" s="677"/>
      <c r="G1114" s="677"/>
      <c r="H1114" s="897"/>
      <c r="I1114" s="898"/>
      <c r="J1114" s="898"/>
      <c r="K1114" s="899"/>
      <c r="L1114" s="899"/>
      <c r="M1114" s="899"/>
      <c r="N1114" s="899"/>
      <c r="O1114" s="899"/>
      <c r="P1114" s="899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896"/>
      <c r="E1115" s="677"/>
      <c r="F1115" s="677"/>
      <c r="G1115" s="677"/>
      <c r="H1115" s="897"/>
      <c r="I1115" s="898"/>
      <c r="J1115" s="898"/>
      <c r="K1115" s="899"/>
      <c r="L1115" s="899"/>
      <c r="M1115" s="899"/>
      <c r="N1115" s="899"/>
      <c r="O1115" s="899"/>
      <c r="P1115" s="899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896"/>
      <c r="E1116" s="677"/>
      <c r="F1116" s="677"/>
      <c r="G1116" s="677"/>
      <c r="H1116" s="897"/>
      <c r="I1116" s="898"/>
      <c r="J1116" s="898"/>
      <c r="K1116" s="899"/>
      <c r="L1116" s="899"/>
      <c r="M1116" s="899"/>
      <c r="N1116" s="899"/>
      <c r="O1116" s="899"/>
      <c r="P1116" s="899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896"/>
      <c r="E1117" s="677"/>
      <c r="F1117" s="677"/>
      <c r="G1117" s="677"/>
      <c r="H1117" s="897"/>
      <c r="I1117" s="898"/>
      <c r="J1117" s="898"/>
      <c r="K1117" s="899"/>
      <c r="L1117" s="899"/>
      <c r="M1117" s="899"/>
      <c r="N1117" s="899"/>
      <c r="O1117" s="899"/>
      <c r="P1117" s="899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896"/>
      <c r="E1118" s="677"/>
      <c r="F1118" s="677"/>
      <c r="G1118" s="677"/>
      <c r="H1118" s="897"/>
      <c r="I1118" s="898"/>
      <c r="J1118" s="898"/>
      <c r="K1118" s="899"/>
      <c r="L1118" s="899"/>
      <c r="M1118" s="899"/>
      <c r="N1118" s="899"/>
      <c r="O1118" s="899"/>
      <c r="P1118" s="899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896"/>
      <c r="E1119" s="677"/>
      <c r="F1119" s="677"/>
      <c r="G1119" s="677"/>
      <c r="H1119" s="897"/>
      <c r="I1119" s="898"/>
      <c r="J1119" s="898"/>
      <c r="K1119" s="899"/>
      <c r="L1119" s="899"/>
      <c r="M1119" s="899"/>
      <c r="N1119" s="899"/>
      <c r="O1119" s="899"/>
      <c r="P1119" s="899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896"/>
      <c r="E1120" s="677"/>
      <c r="F1120" s="677"/>
      <c r="G1120" s="677"/>
      <c r="H1120" s="897"/>
      <c r="I1120" s="898"/>
      <c r="J1120" s="898"/>
      <c r="K1120" s="899"/>
      <c r="L1120" s="899"/>
      <c r="M1120" s="899"/>
      <c r="N1120" s="899"/>
      <c r="O1120" s="899"/>
      <c r="P1120" s="899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896"/>
      <c r="E1121" s="677"/>
      <c r="F1121" s="677"/>
      <c r="G1121" s="677"/>
      <c r="H1121" s="897"/>
      <c r="I1121" s="898"/>
      <c r="J1121" s="898"/>
      <c r="K1121" s="899"/>
      <c r="L1121" s="899"/>
      <c r="M1121" s="899"/>
      <c r="N1121" s="899"/>
      <c r="O1121" s="899"/>
      <c r="P1121" s="899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896"/>
      <c r="E1122" s="677"/>
      <c r="F1122" s="677"/>
      <c r="G1122" s="677"/>
      <c r="H1122" s="897"/>
      <c r="I1122" s="898"/>
      <c r="J1122" s="898"/>
      <c r="K1122" s="899"/>
      <c r="L1122" s="899"/>
      <c r="M1122" s="899"/>
      <c r="N1122" s="899"/>
      <c r="O1122" s="899"/>
      <c r="P1122" s="899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896"/>
      <c r="E1123" s="677"/>
      <c r="F1123" s="677"/>
      <c r="G1123" s="677"/>
      <c r="H1123" s="897"/>
      <c r="I1123" s="898"/>
      <c r="J1123" s="898"/>
      <c r="K1123" s="899"/>
      <c r="L1123" s="899"/>
      <c r="M1123" s="899"/>
      <c r="N1123" s="899"/>
      <c r="O1123" s="899"/>
      <c r="P1123" s="899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896"/>
      <c r="E1124" s="677"/>
      <c r="F1124" s="677"/>
      <c r="G1124" s="677"/>
      <c r="H1124" s="897"/>
      <c r="I1124" s="898"/>
      <c r="J1124" s="898"/>
      <c r="K1124" s="899"/>
      <c r="L1124" s="899"/>
      <c r="M1124" s="899"/>
      <c r="N1124" s="899"/>
      <c r="O1124" s="899"/>
      <c r="P1124" s="899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896"/>
      <c r="E1125" s="677"/>
      <c r="F1125" s="677"/>
      <c r="G1125" s="677"/>
      <c r="H1125" s="897"/>
      <c r="I1125" s="898"/>
      <c r="J1125" s="898"/>
      <c r="K1125" s="899"/>
      <c r="L1125" s="899"/>
      <c r="M1125" s="899"/>
      <c r="N1125" s="899"/>
      <c r="O1125" s="899"/>
      <c r="P1125" s="899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896"/>
      <c r="E1126" s="677"/>
      <c r="F1126" s="677"/>
      <c r="G1126" s="677"/>
      <c r="H1126" s="897"/>
      <c r="I1126" s="898"/>
      <c r="J1126" s="898"/>
      <c r="K1126" s="899"/>
      <c r="L1126" s="899"/>
      <c r="M1126" s="899"/>
      <c r="N1126" s="899"/>
      <c r="O1126" s="899"/>
      <c r="P1126" s="899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896"/>
      <c r="E1127" s="677"/>
      <c r="F1127" s="677"/>
      <c r="G1127" s="677"/>
      <c r="H1127" s="897"/>
      <c r="I1127" s="898"/>
      <c r="J1127" s="898"/>
      <c r="K1127" s="899"/>
      <c r="L1127" s="899"/>
      <c r="M1127" s="899"/>
      <c r="N1127" s="899"/>
      <c r="O1127" s="899"/>
      <c r="P1127" s="899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896"/>
      <c r="E1128" s="677"/>
      <c r="F1128" s="677"/>
      <c r="G1128" s="677"/>
      <c r="H1128" s="897"/>
      <c r="I1128" s="898"/>
      <c r="J1128" s="898"/>
      <c r="K1128" s="899"/>
      <c r="L1128" s="899"/>
      <c r="M1128" s="899"/>
      <c r="N1128" s="899"/>
      <c r="O1128" s="899"/>
      <c r="P1128" s="899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896"/>
      <c r="E1129" s="677"/>
      <c r="F1129" s="677"/>
      <c r="G1129" s="677"/>
      <c r="H1129" s="897"/>
      <c r="I1129" s="898"/>
      <c r="J1129" s="898"/>
      <c r="K1129" s="899"/>
      <c r="L1129" s="899"/>
      <c r="M1129" s="899"/>
      <c r="N1129" s="899"/>
      <c r="O1129" s="899"/>
      <c r="P1129" s="899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896"/>
      <c r="E1130" s="677"/>
      <c r="F1130" s="677"/>
      <c r="G1130" s="677"/>
      <c r="H1130" s="897"/>
      <c r="I1130" s="898"/>
      <c r="J1130" s="898"/>
      <c r="K1130" s="899"/>
      <c r="L1130" s="899"/>
      <c r="M1130" s="899"/>
      <c r="N1130" s="899"/>
      <c r="O1130" s="899"/>
      <c r="P1130" s="899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896"/>
      <c r="E1131" s="677"/>
      <c r="F1131" s="677"/>
      <c r="G1131" s="677"/>
      <c r="H1131" s="897"/>
      <c r="I1131" s="898"/>
      <c r="J1131" s="898"/>
      <c r="K1131" s="899"/>
      <c r="L1131" s="899"/>
      <c r="M1131" s="899"/>
      <c r="N1131" s="899"/>
      <c r="O1131" s="899"/>
      <c r="P1131" s="899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896"/>
      <c r="E1132" s="677"/>
      <c r="F1132" s="677"/>
      <c r="G1132" s="677"/>
      <c r="H1132" s="897"/>
      <c r="I1132" s="898"/>
      <c r="J1132" s="898"/>
      <c r="K1132" s="899"/>
      <c r="L1132" s="899"/>
      <c r="M1132" s="899"/>
      <c r="N1132" s="899"/>
      <c r="O1132" s="899"/>
      <c r="P1132" s="899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896"/>
      <c r="E1133" s="677"/>
      <c r="F1133" s="677"/>
      <c r="G1133" s="677"/>
      <c r="H1133" s="897"/>
      <c r="I1133" s="898"/>
      <c r="J1133" s="898"/>
      <c r="K1133" s="899"/>
      <c r="L1133" s="899"/>
      <c r="M1133" s="899"/>
      <c r="N1133" s="899"/>
      <c r="O1133" s="899"/>
      <c r="P1133" s="899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896"/>
      <c r="E1134" s="677"/>
      <c r="F1134" s="677"/>
      <c r="G1134" s="677"/>
      <c r="H1134" s="897"/>
      <c r="I1134" s="898"/>
      <c r="J1134" s="898"/>
      <c r="K1134" s="899"/>
      <c r="L1134" s="899"/>
      <c r="M1134" s="899"/>
      <c r="N1134" s="899"/>
      <c r="O1134" s="899"/>
      <c r="P1134" s="899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896"/>
      <c r="E1135" s="677"/>
      <c r="F1135" s="677"/>
      <c r="G1135" s="677"/>
      <c r="H1135" s="897"/>
      <c r="I1135" s="898"/>
      <c r="J1135" s="898"/>
      <c r="K1135" s="899"/>
      <c r="L1135" s="899"/>
      <c r="M1135" s="899"/>
      <c r="N1135" s="899"/>
      <c r="O1135" s="899"/>
      <c r="P1135" s="899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896"/>
      <c r="E1136" s="677"/>
      <c r="F1136" s="677"/>
      <c r="G1136" s="677"/>
      <c r="H1136" s="897"/>
      <c r="I1136" s="898"/>
      <c r="J1136" s="898"/>
      <c r="K1136" s="899"/>
      <c r="L1136" s="899"/>
      <c r="M1136" s="899"/>
      <c r="N1136" s="899"/>
      <c r="O1136" s="899"/>
      <c r="P1136" s="899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896"/>
      <c r="E1137" s="677"/>
      <c r="F1137" s="677"/>
      <c r="G1137" s="677"/>
      <c r="H1137" s="897"/>
      <c r="I1137" s="898"/>
      <c r="J1137" s="898"/>
      <c r="K1137" s="899"/>
      <c r="L1137" s="899"/>
      <c r="M1137" s="899"/>
      <c r="N1137" s="899"/>
      <c r="O1137" s="899"/>
      <c r="P1137" s="899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896"/>
      <c r="E1138" s="677"/>
      <c r="F1138" s="677"/>
      <c r="G1138" s="677"/>
      <c r="H1138" s="897"/>
      <c r="I1138" s="898"/>
      <c r="J1138" s="898"/>
      <c r="K1138" s="899"/>
      <c r="L1138" s="899"/>
      <c r="M1138" s="899"/>
      <c r="N1138" s="899"/>
      <c r="O1138" s="899"/>
      <c r="P1138" s="899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896"/>
      <c r="E1139" s="677"/>
      <c r="F1139" s="677"/>
      <c r="G1139" s="677"/>
      <c r="H1139" s="897"/>
      <c r="I1139" s="898"/>
      <c r="J1139" s="898"/>
      <c r="K1139" s="899"/>
      <c r="L1139" s="899"/>
      <c r="M1139" s="899"/>
      <c r="N1139" s="899"/>
      <c r="O1139" s="899"/>
      <c r="P1139" s="899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896"/>
      <c r="E1140" s="677"/>
      <c r="F1140" s="677"/>
      <c r="G1140" s="677"/>
      <c r="H1140" s="897"/>
      <c r="I1140" s="898"/>
      <c r="J1140" s="898"/>
      <c r="K1140" s="899"/>
      <c r="L1140" s="899"/>
      <c r="M1140" s="899"/>
      <c r="N1140" s="899"/>
      <c r="O1140" s="899"/>
      <c r="P1140" s="899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896"/>
      <c r="E1141" s="677"/>
      <c r="F1141" s="677"/>
      <c r="G1141" s="677"/>
      <c r="H1141" s="897"/>
      <c r="I1141" s="898"/>
      <c r="J1141" s="898"/>
      <c r="K1141" s="899"/>
      <c r="L1141" s="899"/>
      <c r="M1141" s="899"/>
      <c r="N1141" s="899"/>
      <c r="O1141" s="899"/>
      <c r="P1141" s="899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896"/>
      <c r="E1142" s="677"/>
      <c r="F1142" s="677"/>
      <c r="G1142" s="677"/>
      <c r="H1142" s="897"/>
      <c r="I1142" s="898"/>
      <c r="J1142" s="898"/>
      <c r="K1142" s="899"/>
      <c r="L1142" s="899"/>
      <c r="M1142" s="899"/>
      <c r="N1142" s="899"/>
      <c r="O1142" s="899"/>
      <c r="P1142" s="899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896"/>
      <c r="E1143" s="677"/>
      <c r="F1143" s="677"/>
      <c r="G1143" s="677"/>
      <c r="H1143" s="897"/>
      <c r="I1143" s="898"/>
      <c r="J1143" s="898"/>
      <c r="K1143" s="899"/>
      <c r="L1143" s="899"/>
      <c r="M1143" s="899"/>
      <c r="N1143" s="899"/>
      <c r="O1143" s="899"/>
      <c r="P1143" s="899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896"/>
      <c r="E1144" s="677"/>
      <c r="F1144" s="677"/>
      <c r="G1144" s="677"/>
      <c r="H1144" s="897"/>
      <c r="I1144" s="898"/>
      <c r="J1144" s="898"/>
      <c r="K1144" s="899"/>
      <c r="L1144" s="899"/>
      <c r="M1144" s="899"/>
      <c r="N1144" s="899"/>
      <c r="O1144" s="899"/>
      <c r="P1144" s="899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896"/>
      <c r="E1145" s="677"/>
      <c r="F1145" s="677"/>
      <c r="G1145" s="677"/>
      <c r="H1145" s="897"/>
      <c r="I1145" s="898"/>
      <c r="J1145" s="898"/>
      <c r="K1145" s="899"/>
      <c r="L1145" s="899"/>
      <c r="M1145" s="899"/>
      <c r="N1145" s="899"/>
      <c r="O1145" s="899"/>
      <c r="P1145" s="899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896"/>
      <c r="E1146" s="677"/>
      <c r="F1146" s="677"/>
      <c r="G1146" s="677"/>
      <c r="H1146" s="897"/>
      <c r="I1146" s="898"/>
      <c r="J1146" s="898"/>
      <c r="K1146" s="899"/>
      <c r="L1146" s="899"/>
      <c r="M1146" s="899"/>
      <c r="N1146" s="899"/>
      <c r="O1146" s="899"/>
      <c r="P1146" s="899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896"/>
      <c r="E1147" s="677"/>
      <c r="F1147" s="677"/>
      <c r="G1147" s="677"/>
      <c r="H1147" s="897"/>
      <c r="I1147" s="898"/>
      <c r="J1147" s="898"/>
      <c r="K1147" s="899"/>
      <c r="L1147" s="899"/>
      <c r="M1147" s="899"/>
      <c r="N1147" s="899"/>
      <c r="O1147" s="899"/>
      <c r="P1147" s="899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896"/>
      <c r="E1148" s="677"/>
      <c r="F1148" s="677"/>
      <c r="G1148" s="677"/>
      <c r="H1148" s="897"/>
      <c r="I1148" s="898"/>
      <c r="J1148" s="898"/>
      <c r="K1148" s="899"/>
      <c r="L1148" s="899"/>
      <c r="M1148" s="899"/>
      <c r="N1148" s="899"/>
      <c r="O1148" s="899"/>
      <c r="P1148" s="899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896"/>
      <c r="E1149" s="677"/>
      <c r="F1149" s="677"/>
      <c r="G1149" s="677"/>
      <c r="H1149" s="897"/>
      <c r="I1149" s="898"/>
      <c r="J1149" s="898"/>
      <c r="K1149" s="899"/>
      <c r="L1149" s="899"/>
      <c r="M1149" s="899"/>
      <c r="N1149" s="899"/>
      <c r="O1149" s="899"/>
      <c r="P1149" s="899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896"/>
      <c r="E1150" s="677"/>
      <c r="F1150" s="677"/>
      <c r="G1150" s="677"/>
      <c r="H1150" s="897"/>
      <c r="I1150" s="898"/>
      <c r="J1150" s="898"/>
      <c r="K1150" s="899"/>
      <c r="L1150" s="899"/>
      <c r="M1150" s="899"/>
      <c r="N1150" s="899"/>
      <c r="O1150" s="899"/>
      <c r="P1150" s="899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896"/>
      <c r="E1151" s="677"/>
      <c r="F1151" s="677"/>
      <c r="G1151" s="677"/>
      <c r="H1151" s="897"/>
      <c r="I1151" s="898"/>
      <c r="J1151" s="898"/>
      <c r="K1151" s="899"/>
      <c r="L1151" s="899"/>
      <c r="M1151" s="899"/>
      <c r="N1151" s="899"/>
      <c r="O1151" s="899"/>
      <c r="P1151" s="899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896"/>
      <c r="E1152" s="677"/>
      <c r="F1152" s="677"/>
      <c r="G1152" s="677"/>
      <c r="H1152" s="897"/>
      <c r="I1152" s="898"/>
      <c r="J1152" s="898"/>
      <c r="K1152" s="899"/>
      <c r="L1152" s="899"/>
      <c r="M1152" s="899"/>
      <c r="N1152" s="899"/>
      <c r="O1152" s="899"/>
      <c r="P1152" s="899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896"/>
      <c r="E1153" s="677"/>
      <c r="F1153" s="677"/>
      <c r="G1153" s="677"/>
      <c r="H1153" s="897"/>
      <c r="I1153" s="898"/>
      <c r="J1153" s="898"/>
      <c r="K1153" s="899"/>
      <c r="L1153" s="899"/>
      <c r="M1153" s="899"/>
      <c r="N1153" s="899"/>
      <c r="O1153" s="899"/>
      <c r="P1153" s="899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896"/>
      <c r="E1154" s="677"/>
      <c r="F1154" s="677"/>
      <c r="G1154" s="677"/>
      <c r="H1154" s="897"/>
      <c r="I1154" s="898"/>
      <c r="J1154" s="898"/>
      <c r="K1154" s="899"/>
      <c r="L1154" s="899"/>
      <c r="M1154" s="899"/>
      <c r="N1154" s="899"/>
      <c r="O1154" s="899"/>
      <c r="P1154" s="899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896"/>
      <c r="E1155" s="677"/>
      <c r="F1155" s="677"/>
      <c r="G1155" s="677"/>
      <c r="H1155" s="897"/>
      <c r="I1155" s="898"/>
      <c r="J1155" s="898"/>
      <c r="K1155" s="899"/>
      <c r="L1155" s="899"/>
      <c r="M1155" s="899"/>
      <c r="N1155" s="899"/>
      <c r="O1155" s="899"/>
      <c r="P1155" s="899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896"/>
      <c r="E1156" s="677"/>
      <c r="F1156" s="677"/>
      <c r="G1156" s="677"/>
      <c r="H1156" s="897"/>
      <c r="I1156" s="898"/>
      <c r="J1156" s="898"/>
      <c r="K1156" s="899"/>
      <c r="L1156" s="899"/>
      <c r="M1156" s="899"/>
      <c r="N1156" s="899"/>
      <c r="O1156" s="899"/>
      <c r="P1156" s="899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896"/>
      <c r="E1157" s="677"/>
      <c r="F1157" s="677"/>
      <c r="G1157" s="677"/>
      <c r="H1157" s="897"/>
      <c r="I1157" s="898"/>
      <c r="J1157" s="898"/>
      <c r="K1157" s="899"/>
      <c r="L1157" s="899"/>
      <c r="M1157" s="899"/>
      <c r="N1157" s="899"/>
      <c r="O1157" s="899"/>
      <c r="P1157" s="899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896"/>
      <c r="E1158" s="677"/>
      <c r="F1158" s="677"/>
      <c r="G1158" s="677"/>
      <c r="H1158" s="897"/>
      <c r="I1158" s="898"/>
      <c r="J1158" s="898"/>
      <c r="K1158" s="899"/>
      <c r="L1158" s="899"/>
      <c r="M1158" s="899"/>
      <c r="N1158" s="899"/>
      <c r="O1158" s="899"/>
      <c r="P1158" s="899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896"/>
      <c r="E1159" s="677"/>
      <c r="F1159" s="677"/>
      <c r="G1159" s="677"/>
      <c r="H1159" s="897"/>
      <c r="I1159" s="898"/>
      <c r="J1159" s="898"/>
      <c r="K1159" s="899"/>
      <c r="L1159" s="899"/>
      <c r="M1159" s="899"/>
      <c r="N1159" s="899"/>
      <c r="O1159" s="899"/>
      <c r="P1159" s="899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896"/>
      <c r="E1160" s="677"/>
      <c r="F1160" s="677"/>
      <c r="G1160" s="677"/>
      <c r="H1160" s="897"/>
      <c r="I1160" s="898"/>
      <c r="J1160" s="898"/>
      <c r="K1160" s="899"/>
      <c r="L1160" s="899"/>
      <c r="M1160" s="899"/>
      <c r="N1160" s="899"/>
      <c r="O1160" s="899"/>
      <c r="P1160" s="899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896"/>
      <c r="E1161" s="677"/>
      <c r="F1161" s="677"/>
      <c r="G1161" s="677"/>
      <c r="H1161" s="897"/>
      <c r="I1161" s="898"/>
      <c r="J1161" s="898"/>
      <c r="K1161" s="899"/>
      <c r="L1161" s="899"/>
      <c r="M1161" s="899"/>
      <c r="N1161" s="899"/>
      <c r="O1161" s="899"/>
      <c r="P1161" s="899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896"/>
      <c r="E1162" s="677"/>
      <c r="F1162" s="677"/>
      <c r="G1162" s="677"/>
      <c r="H1162" s="897"/>
      <c r="I1162" s="898"/>
      <c r="J1162" s="898"/>
      <c r="K1162" s="899"/>
      <c r="L1162" s="899"/>
      <c r="M1162" s="899"/>
      <c r="N1162" s="899"/>
      <c r="O1162" s="899"/>
      <c r="P1162" s="899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896"/>
      <c r="E1163" s="677"/>
      <c r="F1163" s="677"/>
      <c r="G1163" s="677"/>
      <c r="H1163" s="897"/>
      <c r="I1163" s="898"/>
      <c r="J1163" s="898"/>
      <c r="K1163" s="899"/>
      <c r="L1163" s="899"/>
      <c r="M1163" s="899"/>
      <c r="N1163" s="899"/>
      <c r="O1163" s="899"/>
      <c r="P1163" s="899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896"/>
      <c r="E1164" s="677"/>
      <c r="F1164" s="677"/>
      <c r="G1164" s="677"/>
      <c r="H1164" s="897"/>
      <c r="I1164" s="898"/>
      <c r="J1164" s="898"/>
      <c r="K1164" s="899"/>
      <c r="L1164" s="899"/>
      <c r="M1164" s="899"/>
      <c r="N1164" s="899"/>
      <c r="O1164" s="899"/>
      <c r="P1164" s="899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896"/>
      <c r="E1165" s="677"/>
      <c r="F1165" s="677"/>
      <c r="G1165" s="677"/>
      <c r="H1165" s="897"/>
      <c r="I1165" s="898"/>
      <c r="J1165" s="898"/>
      <c r="K1165" s="899"/>
      <c r="L1165" s="899"/>
      <c r="M1165" s="899"/>
      <c r="N1165" s="899"/>
      <c r="O1165" s="899"/>
      <c r="P1165" s="899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896"/>
      <c r="E1166" s="677"/>
      <c r="F1166" s="677"/>
      <c r="G1166" s="677"/>
      <c r="H1166" s="897"/>
      <c r="I1166" s="898"/>
      <c r="J1166" s="898"/>
      <c r="K1166" s="899"/>
      <c r="L1166" s="899"/>
      <c r="M1166" s="899"/>
      <c r="N1166" s="899"/>
      <c r="O1166" s="899"/>
      <c r="P1166" s="899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896"/>
      <c r="E1167" s="677"/>
      <c r="F1167" s="677"/>
      <c r="G1167" s="677"/>
      <c r="H1167" s="897"/>
      <c r="I1167" s="898"/>
      <c r="J1167" s="898"/>
      <c r="K1167" s="899"/>
      <c r="L1167" s="899"/>
      <c r="M1167" s="899"/>
      <c r="N1167" s="899"/>
      <c r="O1167" s="899"/>
      <c r="P1167" s="899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896"/>
      <c r="E1168" s="677"/>
      <c r="F1168" s="677"/>
      <c r="G1168" s="677"/>
      <c r="H1168" s="897"/>
      <c r="I1168" s="898"/>
      <c r="J1168" s="898"/>
      <c r="K1168" s="899"/>
      <c r="L1168" s="899"/>
      <c r="M1168" s="899"/>
      <c r="N1168" s="899"/>
      <c r="O1168" s="899"/>
      <c r="P1168" s="899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896"/>
      <c r="E1169" s="677"/>
      <c r="F1169" s="677"/>
      <c r="G1169" s="677"/>
      <c r="H1169" s="897"/>
      <c r="I1169" s="898"/>
      <c r="J1169" s="898"/>
      <c r="K1169" s="899"/>
      <c r="L1169" s="899"/>
      <c r="M1169" s="899"/>
      <c r="N1169" s="899"/>
      <c r="O1169" s="899"/>
      <c r="P1169" s="899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896"/>
      <c r="E1170" s="677"/>
      <c r="F1170" s="677"/>
      <c r="G1170" s="677"/>
      <c r="H1170" s="897"/>
      <c r="I1170" s="898"/>
      <c r="J1170" s="898"/>
      <c r="K1170" s="899"/>
      <c r="L1170" s="899"/>
      <c r="M1170" s="899"/>
      <c r="N1170" s="899"/>
      <c r="O1170" s="899"/>
      <c r="P1170" s="899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896"/>
      <c r="E1171" s="677"/>
      <c r="F1171" s="677"/>
      <c r="G1171" s="677"/>
      <c r="H1171" s="897"/>
      <c r="I1171" s="898"/>
      <c r="J1171" s="898"/>
      <c r="K1171" s="899"/>
      <c r="L1171" s="899"/>
      <c r="M1171" s="899"/>
      <c r="N1171" s="899"/>
      <c r="O1171" s="899"/>
      <c r="P1171" s="899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896"/>
      <c r="E1172" s="677"/>
      <c r="F1172" s="677"/>
      <c r="G1172" s="677"/>
      <c r="H1172" s="897"/>
      <c r="I1172" s="898"/>
      <c r="J1172" s="898"/>
      <c r="K1172" s="899"/>
      <c r="L1172" s="899"/>
      <c r="M1172" s="899"/>
      <c r="N1172" s="899"/>
      <c r="O1172" s="899"/>
      <c r="P1172" s="899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896"/>
      <c r="E1173" s="677"/>
      <c r="F1173" s="677"/>
      <c r="G1173" s="677"/>
      <c r="H1173" s="897"/>
      <c r="I1173" s="898"/>
      <c r="J1173" s="898"/>
      <c r="K1173" s="899"/>
      <c r="L1173" s="899"/>
      <c r="M1173" s="899"/>
      <c r="N1173" s="899"/>
      <c r="O1173" s="899"/>
      <c r="P1173" s="899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896"/>
      <c r="E1174" s="677"/>
      <c r="F1174" s="677"/>
      <c r="G1174" s="677"/>
      <c r="H1174" s="897"/>
      <c r="I1174" s="898"/>
      <c r="J1174" s="898"/>
      <c r="K1174" s="899"/>
      <c r="L1174" s="899"/>
      <c r="M1174" s="899"/>
      <c r="N1174" s="899"/>
      <c r="O1174" s="899"/>
      <c r="P1174" s="899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896"/>
      <c r="E1175" s="677"/>
      <c r="F1175" s="677"/>
      <c r="G1175" s="677"/>
      <c r="H1175" s="897"/>
      <c r="I1175" s="898"/>
      <c r="J1175" s="898"/>
      <c r="K1175" s="899"/>
      <c r="L1175" s="899"/>
      <c r="M1175" s="899"/>
      <c r="N1175" s="899"/>
      <c r="O1175" s="899"/>
      <c r="P1175" s="899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896"/>
      <c r="E1176" s="677"/>
      <c r="F1176" s="677"/>
      <c r="G1176" s="677"/>
      <c r="H1176" s="897"/>
      <c r="I1176" s="898"/>
      <c r="J1176" s="898"/>
      <c r="K1176" s="899"/>
      <c r="L1176" s="899"/>
      <c r="M1176" s="899"/>
      <c r="N1176" s="899"/>
      <c r="O1176" s="899"/>
      <c r="P1176" s="899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896"/>
      <c r="E1177" s="677"/>
      <c r="F1177" s="677"/>
      <c r="G1177" s="677"/>
      <c r="H1177" s="897"/>
      <c r="I1177" s="898"/>
      <c r="J1177" s="898"/>
      <c r="K1177" s="899"/>
      <c r="L1177" s="899"/>
      <c r="M1177" s="899"/>
      <c r="N1177" s="899"/>
      <c r="O1177" s="899"/>
      <c r="P1177" s="899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896"/>
      <c r="E1178" s="677"/>
      <c r="F1178" s="677"/>
      <c r="G1178" s="677"/>
      <c r="H1178" s="897"/>
      <c r="I1178" s="898"/>
      <c r="J1178" s="898"/>
      <c r="K1178" s="899"/>
      <c r="L1178" s="899"/>
      <c r="M1178" s="899"/>
      <c r="N1178" s="899"/>
      <c r="O1178" s="899"/>
      <c r="P1178" s="899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896"/>
      <c r="E1179" s="677"/>
      <c r="F1179" s="677"/>
      <c r="G1179" s="677"/>
      <c r="H1179" s="897"/>
      <c r="I1179" s="898"/>
      <c r="J1179" s="898"/>
      <c r="K1179" s="899"/>
      <c r="L1179" s="899"/>
      <c r="M1179" s="899"/>
      <c r="N1179" s="899"/>
      <c r="O1179" s="899"/>
      <c r="P1179" s="899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896"/>
      <c r="E1180" s="677"/>
      <c r="F1180" s="677"/>
      <c r="G1180" s="677"/>
      <c r="H1180" s="897"/>
      <c r="I1180" s="898"/>
      <c r="J1180" s="898"/>
      <c r="K1180" s="899"/>
      <c r="L1180" s="899"/>
      <c r="M1180" s="899"/>
      <c r="N1180" s="899"/>
      <c r="O1180" s="899"/>
      <c r="P1180" s="899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896"/>
      <c r="E1181" s="677"/>
      <c r="F1181" s="677"/>
      <c r="G1181" s="677"/>
      <c r="H1181" s="897"/>
      <c r="I1181" s="898"/>
      <c r="J1181" s="898"/>
      <c r="K1181" s="899"/>
      <c r="L1181" s="899"/>
      <c r="M1181" s="899"/>
      <c r="N1181" s="899"/>
      <c r="O1181" s="899"/>
      <c r="P1181" s="899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896"/>
      <c r="E1182" s="677"/>
      <c r="F1182" s="677"/>
      <c r="G1182" s="677"/>
      <c r="H1182" s="897"/>
      <c r="I1182" s="898"/>
      <c r="J1182" s="898"/>
      <c r="K1182" s="899"/>
      <c r="L1182" s="899"/>
      <c r="M1182" s="899"/>
      <c r="N1182" s="899"/>
      <c r="O1182" s="899"/>
      <c r="P1182" s="899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896"/>
      <c r="E1183" s="677"/>
      <c r="F1183" s="677"/>
      <c r="G1183" s="677"/>
      <c r="H1183" s="897"/>
      <c r="I1183" s="898"/>
      <c r="J1183" s="898"/>
      <c r="K1183" s="899"/>
      <c r="L1183" s="899"/>
      <c r="M1183" s="899"/>
      <c r="N1183" s="899"/>
      <c r="O1183" s="899"/>
      <c r="P1183" s="899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896"/>
      <c r="E1184" s="677"/>
      <c r="F1184" s="677"/>
      <c r="G1184" s="677"/>
      <c r="H1184" s="897"/>
      <c r="I1184" s="898"/>
      <c r="J1184" s="898"/>
      <c r="K1184" s="899"/>
      <c r="L1184" s="899"/>
      <c r="M1184" s="899"/>
      <c r="N1184" s="899"/>
      <c r="O1184" s="899"/>
      <c r="P1184" s="899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896"/>
      <c r="E1185" s="677"/>
      <c r="F1185" s="677"/>
      <c r="G1185" s="677"/>
      <c r="H1185" s="897"/>
      <c r="I1185" s="898"/>
      <c r="J1185" s="898"/>
      <c r="K1185" s="899"/>
      <c r="L1185" s="899"/>
      <c r="M1185" s="899"/>
      <c r="N1185" s="899"/>
      <c r="O1185" s="899"/>
      <c r="P1185" s="899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896"/>
      <c r="E1186" s="677"/>
      <c r="F1186" s="677"/>
      <c r="G1186" s="677"/>
      <c r="H1186" s="897"/>
      <c r="I1186" s="898"/>
      <c r="J1186" s="898"/>
      <c r="K1186" s="899"/>
      <c r="L1186" s="899"/>
      <c r="M1186" s="899"/>
      <c r="N1186" s="899"/>
      <c r="O1186" s="899"/>
      <c r="P1186" s="899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896"/>
      <c r="E1187" s="677"/>
      <c r="F1187" s="677"/>
      <c r="G1187" s="677"/>
      <c r="H1187" s="897"/>
      <c r="I1187" s="898"/>
      <c r="J1187" s="898"/>
      <c r="K1187" s="899"/>
      <c r="L1187" s="899"/>
      <c r="M1187" s="899"/>
      <c r="N1187" s="899"/>
      <c r="O1187" s="899"/>
      <c r="P1187" s="899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896"/>
      <c r="E1188" s="677"/>
      <c r="F1188" s="677"/>
      <c r="G1188" s="677"/>
      <c r="H1188" s="897"/>
      <c r="I1188" s="898"/>
      <c r="J1188" s="898"/>
      <c r="K1188" s="899"/>
      <c r="L1188" s="899"/>
      <c r="M1188" s="899"/>
      <c r="N1188" s="899"/>
      <c r="O1188" s="899"/>
      <c r="P1188" s="899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896"/>
      <c r="E1189" s="677"/>
      <c r="F1189" s="677"/>
      <c r="G1189" s="677"/>
      <c r="H1189" s="897"/>
      <c r="I1189" s="898"/>
      <c r="J1189" s="898"/>
      <c r="K1189" s="899"/>
      <c r="L1189" s="899"/>
      <c r="M1189" s="899"/>
      <c r="N1189" s="899"/>
      <c r="O1189" s="899"/>
      <c r="P1189" s="899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896"/>
      <c r="E1190" s="677"/>
      <c r="F1190" s="677"/>
      <c r="G1190" s="677"/>
      <c r="H1190" s="897"/>
      <c r="I1190" s="898"/>
      <c r="J1190" s="898"/>
      <c r="K1190" s="899"/>
      <c r="L1190" s="899"/>
      <c r="M1190" s="899"/>
      <c r="N1190" s="899"/>
      <c r="O1190" s="899"/>
      <c r="P1190" s="899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896"/>
      <c r="E1191" s="677"/>
      <c r="F1191" s="677"/>
      <c r="G1191" s="677"/>
      <c r="H1191" s="897"/>
      <c r="I1191" s="898"/>
      <c r="J1191" s="898"/>
      <c r="K1191" s="899"/>
      <c r="L1191" s="899"/>
      <c r="M1191" s="899"/>
      <c r="N1191" s="899"/>
      <c r="O1191" s="899"/>
      <c r="P1191" s="899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896"/>
      <c r="E1192" s="677"/>
      <c r="F1192" s="677"/>
      <c r="G1192" s="677"/>
      <c r="H1192" s="897"/>
      <c r="I1192" s="898"/>
      <c r="J1192" s="898"/>
      <c r="K1192" s="899"/>
      <c r="L1192" s="899"/>
      <c r="M1192" s="899"/>
      <c r="N1192" s="899"/>
      <c r="O1192" s="899"/>
      <c r="P1192" s="899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896"/>
      <c r="E1193" s="677"/>
      <c r="F1193" s="677"/>
      <c r="G1193" s="677"/>
      <c r="H1193" s="897"/>
      <c r="I1193" s="898"/>
      <c r="J1193" s="898"/>
      <c r="K1193" s="899"/>
      <c r="L1193" s="899"/>
      <c r="M1193" s="899"/>
      <c r="N1193" s="899"/>
      <c r="O1193" s="899"/>
      <c r="P1193" s="899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896"/>
      <c r="E1194" s="677"/>
      <c r="F1194" s="677"/>
      <c r="G1194" s="677"/>
      <c r="H1194" s="897"/>
      <c r="I1194" s="898"/>
      <c r="J1194" s="898"/>
      <c r="K1194" s="899"/>
      <c r="L1194" s="899"/>
      <c r="M1194" s="899"/>
      <c r="N1194" s="899"/>
      <c r="O1194" s="899"/>
      <c r="P1194" s="899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896"/>
      <c r="E1195" s="677"/>
      <c r="F1195" s="677"/>
      <c r="G1195" s="677"/>
      <c r="H1195" s="897"/>
      <c r="I1195" s="898"/>
      <c r="J1195" s="898"/>
      <c r="K1195" s="899"/>
      <c r="L1195" s="899"/>
      <c r="M1195" s="899"/>
      <c r="N1195" s="899"/>
      <c r="O1195" s="899"/>
      <c r="P1195" s="899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896"/>
      <c r="E1196" s="677"/>
      <c r="F1196" s="677"/>
      <c r="G1196" s="677"/>
      <c r="H1196" s="897"/>
      <c r="I1196" s="898"/>
      <c r="J1196" s="898"/>
      <c r="K1196" s="899"/>
      <c r="L1196" s="899"/>
      <c r="M1196" s="899"/>
      <c r="N1196" s="899"/>
      <c r="O1196" s="899"/>
      <c r="P1196" s="899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896"/>
      <c r="E1197" s="677"/>
      <c r="F1197" s="677"/>
      <c r="G1197" s="677"/>
      <c r="H1197" s="897"/>
      <c r="I1197" s="898"/>
      <c r="J1197" s="898"/>
      <c r="K1197" s="899"/>
      <c r="L1197" s="899"/>
      <c r="M1197" s="899"/>
      <c r="N1197" s="899"/>
      <c r="O1197" s="899"/>
      <c r="P1197" s="899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896"/>
      <c r="E1198" s="677"/>
      <c r="F1198" s="677"/>
      <c r="G1198" s="677"/>
      <c r="H1198" s="897"/>
      <c r="I1198" s="898"/>
      <c r="J1198" s="898"/>
      <c r="K1198" s="899"/>
      <c r="L1198" s="899"/>
      <c r="M1198" s="899"/>
      <c r="N1198" s="899"/>
      <c r="O1198" s="899"/>
      <c r="P1198" s="899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896"/>
      <c r="E1199" s="677"/>
      <c r="F1199" s="677"/>
      <c r="G1199" s="677"/>
      <c r="H1199" s="897"/>
      <c r="I1199" s="898"/>
      <c r="J1199" s="898"/>
      <c r="K1199" s="899"/>
      <c r="L1199" s="899"/>
      <c r="M1199" s="899"/>
      <c r="N1199" s="899"/>
      <c r="O1199" s="899"/>
      <c r="P1199" s="899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896"/>
      <c r="E1200" s="677"/>
      <c r="F1200" s="677"/>
      <c r="G1200" s="677"/>
      <c r="H1200" s="897"/>
      <c r="I1200" s="898"/>
      <c r="J1200" s="898"/>
      <c r="K1200" s="899"/>
      <c r="L1200" s="899"/>
      <c r="M1200" s="899"/>
      <c r="N1200" s="899"/>
      <c r="O1200" s="899"/>
      <c r="P1200" s="899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896"/>
      <c r="E1201" s="677"/>
      <c r="F1201" s="677"/>
      <c r="G1201" s="677"/>
      <c r="H1201" s="897"/>
      <c r="I1201" s="898"/>
      <c r="J1201" s="898"/>
      <c r="K1201" s="899"/>
      <c r="L1201" s="899"/>
      <c r="M1201" s="899"/>
      <c r="N1201" s="899"/>
      <c r="O1201" s="899"/>
      <c r="P1201" s="899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896"/>
      <c r="E1202" s="677"/>
      <c r="F1202" s="677"/>
      <c r="G1202" s="677"/>
      <c r="H1202" s="897"/>
      <c r="I1202" s="898"/>
      <c r="J1202" s="898"/>
      <c r="K1202" s="899"/>
      <c r="L1202" s="899"/>
      <c r="M1202" s="899"/>
      <c r="N1202" s="899"/>
      <c r="O1202" s="899"/>
      <c r="P1202" s="899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896"/>
      <c r="E1203" s="677"/>
      <c r="F1203" s="677"/>
      <c r="G1203" s="677"/>
      <c r="H1203" s="897"/>
      <c r="I1203" s="898"/>
      <c r="J1203" s="898"/>
      <c r="K1203" s="899"/>
      <c r="L1203" s="899"/>
      <c r="M1203" s="899"/>
      <c r="N1203" s="899"/>
      <c r="O1203" s="899"/>
      <c r="P1203" s="899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896"/>
      <c r="E1204" s="677"/>
      <c r="F1204" s="677"/>
      <c r="G1204" s="677"/>
      <c r="H1204" s="897"/>
      <c r="I1204" s="898"/>
      <c r="J1204" s="898"/>
      <c r="K1204" s="899"/>
      <c r="L1204" s="899"/>
      <c r="M1204" s="899"/>
      <c r="N1204" s="899"/>
      <c r="O1204" s="899"/>
      <c r="P1204" s="899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896"/>
      <c r="E1205" s="677"/>
      <c r="F1205" s="677"/>
      <c r="G1205" s="677"/>
      <c r="H1205" s="897"/>
      <c r="I1205" s="898"/>
      <c r="J1205" s="898"/>
      <c r="K1205" s="899"/>
      <c r="L1205" s="899"/>
      <c r="M1205" s="899"/>
      <c r="N1205" s="899"/>
      <c r="O1205" s="899"/>
      <c r="P1205" s="899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896"/>
      <c r="E1206" s="677"/>
      <c r="F1206" s="677"/>
      <c r="G1206" s="677"/>
      <c r="H1206" s="897"/>
      <c r="I1206" s="898"/>
      <c r="J1206" s="898"/>
      <c r="K1206" s="899"/>
      <c r="L1206" s="899"/>
      <c r="M1206" s="899"/>
      <c r="N1206" s="899"/>
      <c r="O1206" s="899"/>
      <c r="P1206" s="899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896"/>
      <c r="E1207" s="677"/>
      <c r="F1207" s="677"/>
      <c r="G1207" s="677"/>
      <c r="H1207" s="897"/>
      <c r="I1207" s="898"/>
      <c r="J1207" s="898"/>
      <c r="K1207" s="899"/>
      <c r="L1207" s="899"/>
      <c r="M1207" s="899"/>
      <c r="N1207" s="899"/>
      <c r="O1207" s="899"/>
      <c r="P1207" s="899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896"/>
      <c r="E1208" s="677"/>
      <c r="F1208" s="677"/>
      <c r="G1208" s="677"/>
      <c r="H1208" s="897"/>
      <c r="I1208" s="898"/>
      <c r="J1208" s="898"/>
      <c r="K1208" s="899"/>
      <c r="L1208" s="899"/>
      <c r="M1208" s="899"/>
      <c r="N1208" s="899"/>
      <c r="O1208" s="899"/>
      <c r="P1208" s="899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896"/>
      <c r="E1209" s="677"/>
      <c r="F1209" s="677"/>
      <c r="G1209" s="677"/>
      <c r="H1209" s="897"/>
      <c r="I1209" s="898"/>
      <c r="J1209" s="898"/>
      <c r="K1209" s="899"/>
      <c r="L1209" s="899"/>
      <c r="M1209" s="899"/>
      <c r="N1209" s="899"/>
      <c r="O1209" s="899"/>
      <c r="P1209" s="899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896"/>
      <c r="E1210" s="677"/>
      <c r="F1210" s="677"/>
      <c r="G1210" s="677"/>
      <c r="H1210" s="897"/>
      <c r="I1210" s="898"/>
      <c r="J1210" s="898"/>
      <c r="K1210" s="899"/>
      <c r="L1210" s="899"/>
      <c r="M1210" s="899"/>
      <c r="N1210" s="899"/>
      <c r="O1210" s="899"/>
      <c r="P1210" s="899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896"/>
      <c r="E1211" s="677"/>
      <c r="F1211" s="677"/>
      <c r="G1211" s="677"/>
      <c r="H1211" s="897"/>
      <c r="I1211" s="898"/>
      <c r="J1211" s="898"/>
      <c r="K1211" s="899"/>
      <c r="L1211" s="899"/>
      <c r="M1211" s="899"/>
      <c r="N1211" s="899"/>
      <c r="O1211" s="899"/>
      <c r="P1211" s="899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896"/>
      <c r="E1212" s="677"/>
      <c r="F1212" s="677"/>
      <c r="G1212" s="677"/>
      <c r="H1212" s="897"/>
      <c r="I1212" s="898"/>
      <c r="J1212" s="898"/>
      <c r="K1212" s="899"/>
      <c r="L1212" s="899"/>
      <c r="M1212" s="899"/>
      <c r="N1212" s="899"/>
      <c r="O1212" s="899"/>
      <c r="P1212" s="899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896"/>
      <c r="E1213" s="677"/>
      <c r="F1213" s="677"/>
      <c r="G1213" s="677"/>
      <c r="H1213" s="897"/>
      <c r="I1213" s="898"/>
      <c r="J1213" s="898"/>
      <c r="K1213" s="899"/>
      <c r="L1213" s="899"/>
      <c r="M1213" s="899"/>
      <c r="N1213" s="899"/>
      <c r="O1213" s="899"/>
      <c r="P1213" s="899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896"/>
      <c r="E1214" s="677"/>
      <c r="F1214" s="677"/>
      <c r="G1214" s="677"/>
      <c r="H1214" s="897"/>
      <c r="I1214" s="898"/>
      <c r="J1214" s="898"/>
      <c r="K1214" s="899"/>
      <c r="L1214" s="899"/>
      <c r="M1214" s="899"/>
      <c r="N1214" s="899"/>
      <c r="O1214" s="899"/>
      <c r="P1214" s="899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896"/>
      <c r="E1215" s="677"/>
      <c r="F1215" s="677"/>
      <c r="G1215" s="677"/>
      <c r="H1215" s="897"/>
      <c r="I1215" s="898"/>
      <c r="J1215" s="898"/>
      <c r="K1215" s="899"/>
      <c r="L1215" s="899"/>
      <c r="M1215" s="899"/>
      <c r="N1215" s="899"/>
      <c r="O1215" s="899"/>
      <c r="P1215" s="899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896"/>
      <c r="E1216" s="677"/>
      <c r="F1216" s="677"/>
      <c r="G1216" s="677"/>
      <c r="H1216" s="897"/>
      <c r="I1216" s="898"/>
      <c r="J1216" s="898"/>
      <c r="K1216" s="899"/>
      <c r="L1216" s="899"/>
      <c r="M1216" s="899"/>
      <c r="N1216" s="899"/>
      <c r="O1216" s="899"/>
      <c r="P1216" s="899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896"/>
      <c r="E1217" s="677"/>
      <c r="F1217" s="677"/>
      <c r="G1217" s="677"/>
      <c r="H1217" s="897"/>
      <c r="I1217" s="898"/>
      <c r="J1217" s="898"/>
      <c r="K1217" s="899"/>
      <c r="L1217" s="899"/>
      <c r="M1217" s="899"/>
      <c r="N1217" s="899"/>
      <c r="O1217" s="899"/>
      <c r="P1217" s="899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896"/>
      <c r="E1218" s="677"/>
      <c r="F1218" s="677"/>
      <c r="G1218" s="677"/>
      <c r="H1218" s="897"/>
      <c r="I1218" s="898"/>
      <c r="J1218" s="898"/>
      <c r="K1218" s="899"/>
      <c r="L1218" s="899"/>
      <c r="M1218" s="899"/>
      <c r="N1218" s="899"/>
      <c r="O1218" s="899"/>
      <c r="P1218" s="899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896"/>
      <c r="E1219" s="677"/>
      <c r="F1219" s="677"/>
      <c r="G1219" s="677"/>
      <c r="H1219" s="897"/>
      <c r="I1219" s="898"/>
      <c r="J1219" s="898"/>
      <c r="K1219" s="899"/>
      <c r="L1219" s="899"/>
      <c r="M1219" s="899"/>
      <c r="N1219" s="899"/>
      <c r="O1219" s="899"/>
      <c r="P1219" s="899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896"/>
      <c r="E1220" s="677"/>
      <c r="F1220" s="677"/>
      <c r="G1220" s="677"/>
      <c r="H1220" s="897"/>
      <c r="I1220" s="898"/>
      <c r="J1220" s="898"/>
      <c r="K1220" s="899"/>
      <c r="L1220" s="899"/>
      <c r="M1220" s="899"/>
      <c r="N1220" s="899"/>
      <c r="O1220" s="899"/>
      <c r="P1220" s="899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896"/>
      <c r="E1221" s="677"/>
      <c r="F1221" s="677"/>
      <c r="G1221" s="677"/>
      <c r="H1221" s="897"/>
      <c r="I1221" s="898"/>
      <c r="J1221" s="898"/>
      <c r="K1221" s="899"/>
      <c r="L1221" s="899"/>
      <c r="M1221" s="899"/>
      <c r="N1221" s="899"/>
      <c r="O1221" s="899"/>
      <c r="P1221" s="899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896"/>
      <c r="E1222" s="677"/>
      <c r="F1222" s="677"/>
      <c r="G1222" s="677"/>
      <c r="H1222" s="897"/>
      <c r="I1222" s="898"/>
      <c r="J1222" s="898"/>
      <c r="K1222" s="899"/>
      <c r="L1222" s="899"/>
      <c r="M1222" s="899"/>
      <c r="N1222" s="899"/>
      <c r="O1222" s="899"/>
      <c r="P1222" s="899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896"/>
      <c r="E1223" s="677"/>
      <c r="F1223" s="677"/>
      <c r="G1223" s="677"/>
      <c r="H1223" s="897"/>
      <c r="I1223" s="898"/>
      <c r="J1223" s="898"/>
      <c r="K1223" s="899"/>
      <c r="L1223" s="899"/>
      <c r="M1223" s="899"/>
      <c r="N1223" s="899"/>
      <c r="O1223" s="899"/>
      <c r="P1223" s="899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896"/>
      <c r="E1224" s="677"/>
      <c r="F1224" s="677"/>
      <c r="G1224" s="677"/>
      <c r="H1224" s="897"/>
      <c r="I1224" s="898"/>
      <c r="J1224" s="898"/>
      <c r="K1224" s="899"/>
      <c r="L1224" s="899"/>
      <c r="M1224" s="899"/>
      <c r="N1224" s="899"/>
      <c r="O1224" s="899"/>
      <c r="P1224" s="899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896"/>
      <c r="E1225" s="677"/>
      <c r="F1225" s="677"/>
      <c r="G1225" s="677"/>
      <c r="H1225" s="897"/>
      <c r="I1225" s="898"/>
      <c r="J1225" s="898"/>
      <c r="K1225" s="899"/>
      <c r="L1225" s="899"/>
      <c r="M1225" s="899"/>
      <c r="N1225" s="899"/>
      <c r="O1225" s="899"/>
      <c r="P1225" s="899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896"/>
      <c r="E1226" s="677"/>
      <c r="F1226" s="677"/>
      <c r="G1226" s="677"/>
      <c r="H1226" s="897"/>
      <c r="I1226" s="898"/>
      <c r="J1226" s="898"/>
      <c r="K1226" s="899"/>
      <c r="L1226" s="899"/>
      <c r="M1226" s="899"/>
      <c r="N1226" s="899"/>
      <c r="O1226" s="899"/>
      <c r="P1226" s="899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896"/>
      <c r="E1227" s="677"/>
      <c r="F1227" s="677"/>
      <c r="G1227" s="677"/>
      <c r="H1227" s="897"/>
      <c r="I1227" s="898"/>
      <c r="J1227" s="898"/>
      <c r="K1227" s="899"/>
      <c r="L1227" s="899"/>
      <c r="M1227" s="899"/>
      <c r="N1227" s="899"/>
      <c r="O1227" s="899"/>
      <c r="P1227" s="899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896"/>
      <c r="E1228" s="677"/>
      <c r="F1228" s="677"/>
      <c r="G1228" s="677"/>
      <c r="H1228" s="897"/>
      <c r="I1228" s="898"/>
      <c r="J1228" s="898"/>
      <c r="K1228" s="899"/>
      <c r="L1228" s="899"/>
      <c r="M1228" s="899"/>
      <c r="N1228" s="899"/>
      <c r="O1228" s="899"/>
      <c r="P1228" s="899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896"/>
      <c r="E1229" s="677"/>
      <c r="F1229" s="677"/>
      <c r="G1229" s="677"/>
      <c r="H1229" s="897"/>
      <c r="I1229" s="898"/>
      <c r="J1229" s="898"/>
      <c r="K1229" s="899"/>
      <c r="L1229" s="899"/>
      <c r="M1229" s="899"/>
      <c r="N1229" s="899"/>
      <c r="O1229" s="899"/>
      <c r="P1229" s="899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896"/>
      <c r="E1230" s="677"/>
      <c r="F1230" s="677"/>
      <c r="G1230" s="677"/>
      <c r="H1230" s="897"/>
      <c r="I1230" s="898"/>
      <c r="J1230" s="898"/>
      <c r="K1230" s="899"/>
      <c r="L1230" s="899"/>
      <c r="M1230" s="899"/>
      <c r="N1230" s="899"/>
      <c r="O1230" s="899"/>
      <c r="P1230" s="899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896"/>
      <c r="E1231" s="677"/>
      <c r="F1231" s="677"/>
      <c r="G1231" s="677"/>
      <c r="H1231" s="897"/>
      <c r="I1231" s="898"/>
      <c r="J1231" s="898"/>
      <c r="K1231" s="899"/>
      <c r="L1231" s="899"/>
      <c r="M1231" s="899"/>
      <c r="N1231" s="899"/>
      <c r="O1231" s="899"/>
      <c r="P1231" s="899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896"/>
      <c r="E1232" s="677"/>
      <c r="F1232" s="677"/>
      <c r="G1232" s="677"/>
      <c r="H1232" s="897"/>
      <c r="I1232" s="898"/>
      <c r="J1232" s="898"/>
      <c r="K1232" s="899"/>
      <c r="L1232" s="899"/>
      <c r="M1232" s="899"/>
      <c r="N1232" s="899"/>
      <c r="O1232" s="899"/>
      <c r="P1232" s="899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896"/>
      <c r="E1233" s="677"/>
      <c r="F1233" s="677"/>
      <c r="G1233" s="677"/>
      <c r="H1233" s="897"/>
      <c r="I1233" s="898"/>
      <c r="J1233" s="898"/>
      <c r="K1233" s="899"/>
      <c r="L1233" s="899"/>
      <c r="M1233" s="899"/>
      <c r="N1233" s="899"/>
      <c r="O1233" s="899"/>
      <c r="P1233" s="899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896"/>
      <c r="E1234" s="677"/>
      <c r="F1234" s="677"/>
      <c r="G1234" s="677"/>
      <c r="H1234" s="897"/>
      <c r="I1234" s="898"/>
      <c r="J1234" s="898"/>
      <c r="K1234" s="899"/>
      <c r="L1234" s="899"/>
      <c r="M1234" s="899"/>
      <c r="N1234" s="899"/>
      <c r="O1234" s="899"/>
      <c r="P1234" s="899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896"/>
      <c r="E1235" s="677"/>
      <c r="F1235" s="677"/>
      <c r="G1235" s="677"/>
      <c r="H1235" s="897"/>
      <c r="I1235" s="898"/>
      <c r="J1235" s="898"/>
      <c r="K1235" s="899"/>
      <c r="L1235" s="899"/>
      <c r="M1235" s="899"/>
      <c r="N1235" s="899"/>
      <c r="O1235" s="899"/>
      <c r="P1235" s="899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896"/>
      <c r="E1236" s="677"/>
      <c r="F1236" s="677"/>
      <c r="G1236" s="677"/>
      <c r="H1236" s="897"/>
      <c r="I1236" s="898"/>
      <c r="J1236" s="898"/>
      <c r="K1236" s="899"/>
      <c r="L1236" s="899"/>
      <c r="M1236" s="899"/>
      <c r="N1236" s="899"/>
      <c r="O1236" s="899"/>
      <c r="P1236" s="899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896"/>
      <c r="E1237" s="677"/>
      <c r="F1237" s="677"/>
      <c r="G1237" s="677"/>
      <c r="H1237" s="897"/>
      <c r="I1237" s="898"/>
      <c r="J1237" s="898"/>
      <c r="K1237" s="899"/>
      <c r="L1237" s="899"/>
      <c r="M1237" s="899"/>
      <c r="N1237" s="899"/>
      <c r="O1237" s="899"/>
      <c r="P1237" s="899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896"/>
      <c r="E1238" s="677"/>
      <c r="F1238" s="677"/>
      <c r="G1238" s="677"/>
      <c r="H1238" s="897"/>
      <c r="I1238" s="898"/>
      <c r="J1238" s="898"/>
      <c r="K1238" s="899"/>
      <c r="L1238" s="899"/>
      <c r="M1238" s="899"/>
      <c r="N1238" s="899"/>
      <c r="O1238" s="899"/>
      <c r="P1238" s="899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896"/>
      <c r="E1239" s="677"/>
      <c r="F1239" s="677"/>
      <c r="G1239" s="677"/>
      <c r="H1239" s="897"/>
      <c r="I1239" s="898"/>
      <c r="J1239" s="898"/>
      <c r="K1239" s="899"/>
      <c r="L1239" s="899"/>
      <c r="M1239" s="899"/>
      <c r="N1239" s="899"/>
      <c r="O1239" s="899"/>
      <c r="P1239" s="899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896"/>
      <c r="E1240" s="677"/>
      <c r="F1240" s="677"/>
      <c r="G1240" s="677"/>
      <c r="H1240" s="897"/>
      <c r="I1240" s="898"/>
      <c r="J1240" s="898"/>
      <c r="K1240" s="899"/>
      <c r="L1240" s="899"/>
      <c r="M1240" s="899"/>
      <c r="N1240" s="899"/>
      <c r="O1240" s="899"/>
      <c r="P1240" s="899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896"/>
      <c r="E1241" s="677"/>
      <c r="F1241" s="677"/>
      <c r="G1241" s="677"/>
      <c r="H1241" s="897"/>
      <c r="I1241" s="898"/>
      <c r="J1241" s="898"/>
      <c r="K1241" s="899"/>
      <c r="L1241" s="899"/>
      <c r="M1241" s="899"/>
      <c r="N1241" s="899"/>
      <c r="O1241" s="899"/>
      <c r="P1241" s="899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896"/>
      <c r="E1242" s="677"/>
      <c r="F1242" s="677"/>
      <c r="G1242" s="677"/>
      <c r="H1242" s="897"/>
      <c r="I1242" s="898"/>
      <c r="J1242" s="898"/>
      <c r="K1242" s="899"/>
      <c r="L1242" s="899"/>
      <c r="M1242" s="899"/>
      <c r="N1242" s="899"/>
      <c r="O1242" s="899"/>
      <c r="P1242" s="899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896"/>
      <c r="E1243" s="677"/>
      <c r="F1243" s="677"/>
      <c r="G1243" s="677"/>
      <c r="H1243" s="897"/>
      <c r="I1243" s="898"/>
      <c r="J1243" s="898"/>
      <c r="K1243" s="899"/>
      <c r="L1243" s="899"/>
      <c r="M1243" s="899"/>
      <c r="N1243" s="899"/>
      <c r="O1243" s="899"/>
      <c r="P1243" s="899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896"/>
      <c r="E1244" s="677"/>
      <c r="F1244" s="677"/>
      <c r="G1244" s="677"/>
      <c r="H1244" s="897"/>
      <c r="I1244" s="898"/>
      <c r="J1244" s="898"/>
      <c r="K1244" s="899"/>
      <c r="L1244" s="899"/>
      <c r="M1244" s="899"/>
      <c r="N1244" s="899"/>
      <c r="O1244" s="899"/>
      <c r="P1244" s="899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896"/>
      <c r="E1245" s="677"/>
      <c r="F1245" s="677"/>
      <c r="G1245" s="677"/>
      <c r="H1245" s="897"/>
      <c r="I1245" s="898"/>
      <c r="J1245" s="898"/>
      <c r="K1245" s="899"/>
      <c r="L1245" s="899"/>
      <c r="M1245" s="899"/>
      <c r="N1245" s="899"/>
      <c r="O1245" s="899"/>
      <c r="P1245" s="899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896"/>
      <c r="E1246" s="677"/>
      <c r="F1246" s="677"/>
      <c r="G1246" s="677"/>
      <c r="H1246" s="897"/>
      <c r="I1246" s="898"/>
      <c r="J1246" s="898"/>
      <c r="K1246" s="899"/>
      <c r="L1246" s="899"/>
      <c r="M1246" s="899"/>
      <c r="N1246" s="899"/>
      <c r="O1246" s="899"/>
      <c r="P1246" s="899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896"/>
      <c r="E1247" s="677"/>
      <c r="F1247" s="677"/>
      <c r="G1247" s="677"/>
      <c r="H1247" s="897"/>
      <c r="I1247" s="898"/>
      <c r="J1247" s="898"/>
      <c r="K1247" s="899"/>
      <c r="L1247" s="899"/>
      <c r="M1247" s="899"/>
      <c r="N1247" s="899"/>
      <c r="O1247" s="899"/>
      <c r="P1247" s="899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896"/>
      <c r="E1248" s="677"/>
      <c r="F1248" s="677"/>
      <c r="G1248" s="677"/>
      <c r="H1248" s="897"/>
      <c r="I1248" s="898"/>
      <c r="J1248" s="898"/>
      <c r="K1248" s="899"/>
      <c r="L1248" s="899"/>
      <c r="M1248" s="899"/>
      <c r="N1248" s="899"/>
      <c r="O1248" s="899"/>
      <c r="P1248" s="899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896"/>
      <c r="E1249" s="677"/>
      <c r="F1249" s="677"/>
      <c r="G1249" s="677"/>
      <c r="H1249" s="897"/>
      <c r="I1249" s="898"/>
      <c r="J1249" s="898"/>
      <c r="K1249" s="899"/>
      <c r="L1249" s="899"/>
      <c r="M1249" s="899"/>
      <c r="N1249" s="899"/>
      <c r="O1249" s="899"/>
      <c r="P1249" s="899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896"/>
      <c r="E1250" s="677"/>
      <c r="F1250" s="677"/>
      <c r="G1250" s="677"/>
      <c r="H1250" s="897"/>
      <c r="I1250" s="898"/>
      <c r="J1250" s="898"/>
      <c r="K1250" s="899"/>
      <c r="L1250" s="899"/>
      <c r="M1250" s="899"/>
      <c r="N1250" s="899"/>
      <c r="O1250" s="899"/>
      <c r="P1250" s="899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896"/>
      <c r="E1251" s="677"/>
      <c r="F1251" s="677"/>
      <c r="G1251" s="677"/>
      <c r="H1251" s="897"/>
      <c r="I1251" s="898"/>
      <c r="J1251" s="898"/>
      <c r="K1251" s="899"/>
      <c r="L1251" s="899"/>
      <c r="M1251" s="899"/>
      <c r="N1251" s="899"/>
      <c r="O1251" s="899"/>
      <c r="P1251" s="899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896"/>
      <c r="E1252" s="677"/>
      <c r="F1252" s="677"/>
      <c r="G1252" s="677"/>
      <c r="H1252" s="897"/>
      <c r="I1252" s="898"/>
      <c r="J1252" s="898"/>
      <c r="K1252" s="899"/>
      <c r="L1252" s="899"/>
      <c r="M1252" s="899"/>
      <c r="N1252" s="899"/>
      <c r="O1252" s="899"/>
      <c r="P1252" s="899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896"/>
      <c r="E1253" s="677"/>
      <c r="F1253" s="677"/>
      <c r="G1253" s="677"/>
      <c r="H1253" s="897"/>
      <c r="I1253" s="898"/>
      <c r="J1253" s="898"/>
      <c r="K1253" s="899"/>
      <c r="L1253" s="899"/>
      <c r="M1253" s="899"/>
      <c r="N1253" s="899"/>
      <c r="O1253" s="899"/>
      <c r="P1253" s="899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896"/>
      <c r="E1254" s="677"/>
      <c r="F1254" s="677"/>
      <c r="G1254" s="677"/>
      <c r="H1254" s="897"/>
      <c r="I1254" s="898"/>
      <c r="J1254" s="898"/>
      <c r="K1254" s="899"/>
      <c r="L1254" s="899"/>
      <c r="M1254" s="899"/>
      <c r="N1254" s="899"/>
      <c r="O1254" s="899"/>
      <c r="P1254" s="899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896"/>
      <c r="E1255" s="677"/>
      <c r="F1255" s="677"/>
      <c r="G1255" s="677"/>
      <c r="H1255" s="897"/>
      <c r="I1255" s="898"/>
      <c r="J1255" s="898"/>
      <c r="K1255" s="899"/>
      <c r="L1255" s="899"/>
      <c r="M1255" s="899"/>
      <c r="N1255" s="899"/>
      <c r="O1255" s="899"/>
      <c r="P1255" s="899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896"/>
      <c r="E1256" s="677"/>
      <c r="F1256" s="677"/>
      <c r="G1256" s="677"/>
      <c r="H1256" s="897"/>
      <c r="I1256" s="898"/>
      <c r="J1256" s="898"/>
      <c r="K1256" s="899"/>
      <c r="L1256" s="899"/>
      <c r="M1256" s="899"/>
      <c r="N1256" s="899"/>
      <c r="O1256" s="899"/>
      <c r="P1256" s="899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896"/>
      <c r="E1257" s="677"/>
      <c r="F1257" s="677"/>
      <c r="G1257" s="677"/>
      <c r="H1257" s="897"/>
      <c r="I1257" s="898"/>
      <c r="J1257" s="898"/>
      <c r="K1257" s="899"/>
      <c r="L1257" s="899"/>
      <c r="M1257" s="899"/>
      <c r="N1257" s="899"/>
      <c r="O1257" s="899"/>
      <c r="P1257" s="899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896"/>
      <c r="E1258" s="677"/>
      <c r="F1258" s="677"/>
      <c r="G1258" s="677"/>
      <c r="H1258" s="897"/>
      <c r="I1258" s="898"/>
      <c r="J1258" s="898"/>
      <c r="K1258" s="899"/>
      <c r="L1258" s="899"/>
      <c r="M1258" s="899"/>
      <c r="N1258" s="899"/>
      <c r="O1258" s="899"/>
      <c r="P1258" s="899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896"/>
      <c r="E1259" s="677"/>
      <c r="F1259" s="677"/>
      <c r="G1259" s="677"/>
      <c r="H1259" s="897"/>
      <c r="I1259" s="898"/>
      <c r="J1259" s="898"/>
      <c r="K1259" s="899"/>
      <c r="L1259" s="899"/>
      <c r="M1259" s="899"/>
      <c r="N1259" s="899"/>
      <c r="O1259" s="899"/>
      <c r="P1259" s="899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896"/>
      <c r="E1260" s="677"/>
      <c r="F1260" s="677"/>
      <c r="G1260" s="677"/>
      <c r="H1260" s="897"/>
      <c r="I1260" s="898"/>
      <c r="J1260" s="898"/>
      <c r="K1260" s="899"/>
      <c r="L1260" s="899"/>
      <c r="M1260" s="899"/>
      <c r="N1260" s="899"/>
      <c r="O1260" s="899"/>
      <c r="P1260" s="899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896"/>
      <c r="E1261" s="677"/>
      <c r="F1261" s="677"/>
      <c r="G1261" s="677"/>
      <c r="H1261" s="897"/>
      <c r="I1261" s="898"/>
      <c r="J1261" s="898"/>
      <c r="K1261" s="899"/>
      <c r="L1261" s="899"/>
      <c r="M1261" s="899"/>
      <c r="N1261" s="899"/>
      <c r="O1261" s="899"/>
      <c r="P1261" s="899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896"/>
      <c r="E1262" s="677"/>
      <c r="F1262" s="677"/>
      <c r="G1262" s="677"/>
      <c r="H1262" s="897"/>
      <c r="I1262" s="898"/>
      <c r="J1262" s="898"/>
      <c r="K1262" s="899"/>
      <c r="L1262" s="899"/>
      <c r="M1262" s="899"/>
      <c r="N1262" s="899"/>
      <c r="O1262" s="899"/>
      <c r="P1262" s="899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896"/>
      <c r="E1263" s="677"/>
      <c r="F1263" s="677"/>
      <c r="G1263" s="677"/>
      <c r="H1263" s="897"/>
      <c r="I1263" s="898"/>
      <c r="J1263" s="898"/>
      <c r="K1263" s="899"/>
      <c r="L1263" s="899"/>
      <c r="M1263" s="899"/>
      <c r="N1263" s="899"/>
      <c r="O1263" s="899"/>
      <c r="P1263" s="899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896"/>
      <c r="E1264" s="677"/>
      <c r="F1264" s="677"/>
      <c r="G1264" s="677"/>
      <c r="H1264" s="897"/>
      <c r="I1264" s="898"/>
      <c r="J1264" s="898"/>
      <c r="K1264" s="899"/>
      <c r="L1264" s="899"/>
      <c r="M1264" s="899"/>
      <c r="N1264" s="899"/>
      <c r="O1264" s="899"/>
      <c r="P1264" s="899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896"/>
      <c r="E1265" s="677"/>
      <c r="F1265" s="677"/>
      <c r="G1265" s="677"/>
      <c r="H1265" s="897"/>
      <c r="I1265" s="898"/>
      <c r="J1265" s="898"/>
      <c r="K1265" s="899"/>
      <c r="L1265" s="899"/>
      <c r="M1265" s="899"/>
      <c r="N1265" s="899"/>
      <c r="O1265" s="899"/>
      <c r="P1265" s="899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896"/>
      <c r="E1266" s="677"/>
      <c r="F1266" s="677"/>
      <c r="G1266" s="677"/>
      <c r="H1266" s="897"/>
      <c r="I1266" s="898"/>
      <c r="J1266" s="898"/>
      <c r="K1266" s="899"/>
      <c r="L1266" s="899"/>
      <c r="M1266" s="899"/>
      <c r="N1266" s="899"/>
      <c r="O1266" s="899"/>
      <c r="P1266" s="899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896"/>
      <c r="E1267" s="677"/>
      <c r="F1267" s="677"/>
      <c r="G1267" s="677"/>
      <c r="H1267" s="897"/>
      <c r="I1267" s="898"/>
      <c r="J1267" s="898"/>
      <c r="K1267" s="899"/>
      <c r="L1267" s="899"/>
      <c r="M1267" s="899"/>
      <c r="N1267" s="899"/>
      <c r="O1267" s="899"/>
      <c r="P1267" s="899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896"/>
      <c r="E1268" s="677"/>
      <c r="F1268" s="677"/>
      <c r="G1268" s="677"/>
      <c r="H1268" s="897"/>
      <c r="I1268" s="898"/>
      <c r="J1268" s="898"/>
      <c r="K1268" s="899"/>
      <c r="L1268" s="899"/>
      <c r="M1268" s="899"/>
      <c r="N1268" s="899"/>
      <c r="O1268" s="899"/>
      <c r="P1268" s="899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896"/>
      <c r="E1269" s="677"/>
      <c r="F1269" s="677"/>
      <c r="G1269" s="677"/>
      <c r="H1269" s="897"/>
      <c r="I1269" s="898"/>
      <c r="J1269" s="898"/>
      <c r="K1269" s="899"/>
      <c r="L1269" s="899"/>
      <c r="M1269" s="899"/>
      <c r="N1269" s="899"/>
      <c r="O1269" s="899"/>
      <c r="P1269" s="899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896"/>
      <c r="E1270" s="677"/>
      <c r="F1270" s="677"/>
      <c r="G1270" s="677"/>
      <c r="H1270" s="897"/>
      <c r="I1270" s="898"/>
      <c r="J1270" s="898"/>
      <c r="K1270" s="899"/>
      <c r="L1270" s="899"/>
      <c r="M1270" s="899"/>
      <c r="N1270" s="899"/>
      <c r="O1270" s="899"/>
      <c r="P1270" s="899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896"/>
      <c r="E1271" s="677"/>
      <c r="F1271" s="677"/>
      <c r="G1271" s="677"/>
      <c r="H1271" s="897"/>
      <c r="I1271" s="898"/>
      <c r="J1271" s="898"/>
      <c r="K1271" s="899"/>
      <c r="L1271" s="899"/>
      <c r="M1271" s="899"/>
      <c r="N1271" s="899"/>
      <c r="O1271" s="899"/>
      <c r="P1271" s="899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896"/>
      <c r="E1272" s="677"/>
      <c r="F1272" s="677"/>
      <c r="G1272" s="677"/>
      <c r="H1272" s="897"/>
      <c r="I1272" s="898"/>
      <c r="J1272" s="898"/>
      <c r="K1272" s="899"/>
      <c r="L1272" s="899"/>
      <c r="M1272" s="899"/>
      <c r="N1272" s="899"/>
      <c r="O1272" s="899"/>
      <c r="P1272" s="899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896"/>
      <c r="E1273" s="677"/>
      <c r="F1273" s="677"/>
      <c r="G1273" s="677"/>
      <c r="H1273" s="897"/>
      <c r="I1273" s="898"/>
      <c r="J1273" s="898"/>
      <c r="K1273" s="899"/>
      <c r="L1273" s="899"/>
      <c r="M1273" s="899"/>
      <c r="N1273" s="899"/>
      <c r="O1273" s="899"/>
      <c r="P1273" s="899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896"/>
      <c r="E1274" s="677"/>
      <c r="F1274" s="677"/>
      <c r="G1274" s="677"/>
      <c r="H1274" s="897"/>
      <c r="I1274" s="898"/>
      <c r="J1274" s="898"/>
      <c r="K1274" s="899"/>
      <c r="L1274" s="899"/>
      <c r="M1274" s="899"/>
      <c r="N1274" s="899"/>
      <c r="O1274" s="899"/>
      <c r="P1274" s="899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896"/>
      <c r="E1275" s="677"/>
      <c r="F1275" s="677"/>
      <c r="G1275" s="677"/>
      <c r="H1275" s="897"/>
      <c r="I1275" s="898"/>
      <c r="J1275" s="898"/>
      <c r="K1275" s="899"/>
      <c r="L1275" s="899"/>
      <c r="M1275" s="899"/>
      <c r="N1275" s="899"/>
      <c r="O1275" s="899"/>
      <c r="P1275" s="899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896"/>
      <c r="E1276" s="677"/>
      <c r="F1276" s="677"/>
      <c r="G1276" s="677"/>
      <c r="H1276" s="897"/>
      <c r="I1276" s="898"/>
      <c r="J1276" s="898"/>
      <c r="K1276" s="899"/>
      <c r="L1276" s="899"/>
      <c r="M1276" s="899"/>
      <c r="N1276" s="899"/>
      <c r="O1276" s="899"/>
      <c r="P1276" s="899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896"/>
      <c r="E1277" s="677"/>
      <c r="F1277" s="677"/>
      <c r="G1277" s="677"/>
      <c r="H1277" s="897"/>
      <c r="I1277" s="898"/>
      <c r="J1277" s="898"/>
      <c r="K1277" s="899"/>
      <c r="L1277" s="899"/>
      <c r="M1277" s="899"/>
      <c r="N1277" s="899"/>
      <c r="O1277" s="899"/>
      <c r="P1277" s="899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896"/>
      <c r="E1278" s="677"/>
      <c r="F1278" s="677"/>
      <c r="G1278" s="677"/>
      <c r="H1278" s="897"/>
      <c r="I1278" s="898"/>
      <c r="J1278" s="898"/>
      <c r="K1278" s="899"/>
      <c r="L1278" s="899"/>
      <c r="M1278" s="899"/>
      <c r="N1278" s="899"/>
      <c r="O1278" s="899"/>
      <c r="P1278" s="899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896"/>
      <c r="E1279" s="677"/>
      <c r="F1279" s="677"/>
      <c r="G1279" s="677"/>
      <c r="H1279" s="897"/>
      <c r="I1279" s="898"/>
      <c r="J1279" s="898"/>
      <c r="K1279" s="899"/>
      <c r="L1279" s="899"/>
      <c r="M1279" s="899"/>
      <c r="N1279" s="899"/>
      <c r="O1279" s="899"/>
      <c r="P1279" s="899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896"/>
      <c r="E1280" s="677"/>
      <c r="F1280" s="677"/>
      <c r="G1280" s="677"/>
      <c r="H1280" s="897"/>
      <c r="I1280" s="898"/>
      <c r="J1280" s="898"/>
      <c r="K1280" s="899"/>
      <c r="L1280" s="899"/>
      <c r="M1280" s="899"/>
      <c r="N1280" s="899"/>
      <c r="O1280" s="899"/>
      <c r="P1280" s="899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896"/>
      <c r="E1281" s="677"/>
      <c r="F1281" s="677"/>
      <c r="G1281" s="677"/>
      <c r="H1281" s="897"/>
      <c r="I1281" s="898"/>
      <c r="J1281" s="898"/>
      <c r="K1281" s="899"/>
      <c r="L1281" s="899"/>
      <c r="M1281" s="899"/>
      <c r="N1281" s="899"/>
      <c r="O1281" s="899"/>
      <c r="P1281" s="899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896"/>
      <c r="E1282" s="677"/>
      <c r="F1282" s="677"/>
      <c r="G1282" s="677"/>
      <c r="H1282" s="897"/>
      <c r="I1282" s="898"/>
      <c r="J1282" s="898"/>
      <c r="K1282" s="899"/>
      <c r="L1282" s="899"/>
      <c r="M1282" s="899"/>
      <c r="N1282" s="899"/>
      <c r="O1282" s="899"/>
      <c r="P1282" s="899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896"/>
      <c r="E1283" s="677"/>
      <c r="F1283" s="677"/>
      <c r="G1283" s="677"/>
      <c r="H1283" s="897"/>
      <c r="I1283" s="898"/>
      <c r="J1283" s="898"/>
      <c r="K1283" s="899"/>
      <c r="L1283" s="899"/>
      <c r="M1283" s="899"/>
      <c r="N1283" s="899"/>
      <c r="O1283" s="899"/>
      <c r="P1283" s="899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896"/>
      <c r="E1284" s="677"/>
      <c r="F1284" s="677"/>
      <c r="G1284" s="677"/>
      <c r="H1284" s="897"/>
      <c r="I1284" s="898"/>
      <c r="J1284" s="898"/>
      <c r="K1284" s="899"/>
      <c r="L1284" s="899"/>
      <c r="M1284" s="899"/>
      <c r="N1284" s="899"/>
      <c r="O1284" s="899"/>
      <c r="P1284" s="899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896"/>
      <c r="E1285" s="677"/>
      <c r="F1285" s="677"/>
      <c r="G1285" s="677"/>
      <c r="H1285" s="897"/>
      <c r="I1285" s="898"/>
      <c r="J1285" s="898"/>
      <c r="K1285" s="899"/>
      <c r="L1285" s="899"/>
      <c r="M1285" s="899"/>
      <c r="N1285" s="899"/>
      <c r="O1285" s="899"/>
      <c r="P1285" s="899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896"/>
      <c r="E1286" s="677"/>
      <c r="F1286" s="677"/>
      <c r="G1286" s="677"/>
      <c r="H1286" s="897"/>
      <c r="I1286" s="898"/>
      <c r="J1286" s="898"/>
      <c r="K1286" s="899"/>
      <c r="L1286" s="899"/>
      <c r="M1286" s="899"/>
      <c r="N1286" s="899"/>
      <c r="O1286" s="899"/>
      <c r="P1286" s="899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896"/>
      <c r="E1287" s="677"/>
      <c r="F1287" s="677"/>
      <c r="G1287" s="677"/>
      <c r="H1287" s="897"/>
      <c r="I1287" s="898"/>
      <c r="J1287" s="898"/>
      <c r="K1287" s="899"/>
      <c r="L1287" s="899"/>
      <c r="M1287" s="899"/>
      <c r="N1287" s="899"/>
      <c r="O1287" s="899"/>
      <c r="P1287" s="899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896"/>
      <c r="E1288" s="677"/>
      <c r="F1288" s="677"/>
      <c r="G1288" s="677"/>
      <c r="H1288" s="897"/>
      <c r="I1288" s="898"/>
      <c r="J1288" s="898"/>
      <c r="K1288" s="899"/>
      <c r="L1288" s="899"/>
      <c r="M1288" s="899"/>
      <c r="N1288" s="899"/>
      <c r="O1288" s="899"/>
      <c r="P1288" s="899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896"/>
      <c r="E1289" s="677"/>
      <c r="F1289" s="677"/>
      <c r="G1289" s="677"/>
      <c r="H1289" s="897"/>
      <c r="I1289" s="898"/>
      <c r="J1289" s="898"/>
      <c r="K1289" s="899"/>
      <c r="L1289" s="899"/>
      <c r="M1289" s="899"/>
      <c r="N1289" s="899"/>
      <c r="O1289" s="899"/>
      <c r="P1289" s="899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896"/>
      <c r="E1290" s="677"/>
      <c r="F1290" s="677"/>
      <c r="G1290" s="677"/>
      <c r="H1290" s="897"/>
      <c r="I1290" s="898"/>
      <c r="J1290" s="898"/>
      <c r="K1290" s="899"/>
      <c r="L1290" s="899"/>
      <c r="M1290" s="899"/>
      <c r="N1290" s="899"/>
      <c r="O1290" s="899"/>
      <c r="P1290" s="899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896"/>
      <c r="E1291" s="677"/>
      <c r="F1291" s="677"/>
      <c r="G1291" s="677"/>
      <c r="H1291" s="897"/>
      <c r="I1291" s="898"/>
      <c r="J1291" s="898"/>
      <c r="K1291" s="899"/>
      <c r="L1291" s="899"/>
      <c r="M1291" s="899"/>
      <c r="N1291" s="899"/>
      <c r="O1291" s="899"/>
      <c r="P1291" s="899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896"/>
      <c r="E1292" s="677"/>
      <c r="F1292" s="677"/>
      <c r="G1292" s="677"/>
      <c r="H1292" s="897"/>
      <c r="I1292" s="898"/>
      <c r="J1292" s="898"/>
      <c r="K1292" s="899"/>
      <c r="L1292" s="899"/>
      <c r="M1292" s="899"/>
      <c r="N1292" s="899"/>
      <c r="O1292" s="899"/>
      <c r="P1292" s="899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896"/>
      <c r="E1293" s="677"/>
      <c r="F1293" s="677"/>
      <c r="G1293" s="677"/>
      <c r="H1293" s="897"/>
      <c r="I1293" s="898"/>
      <c r="J1293" s="898"/>
      <c r="K1293" s="899"/>
      <c r="L1293" s="899"/>
      <c r="M1293" s="899"/>
      <c r="N1293" s="899"/>
      <c r="O1293" s="899"/>
      <c r="P1293" s="899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896"/>
      <c r="E1294" s="677"/>
      <c r="F1294" s="677"/>
      <c r="G1294" s="677"/>
      <c r="H1294" s="897"/>
      <c r="I1294" s="898"/>
      <c r="J1294" s="898"/>
      <c r="K1294" s="899"/>
      <c r="L1294" s="899"/>
      <c r="M1294" s="899"/>
      <c r="N1294" s="899"/>
      <c r="O1294" s="899"/>
      <c r="P1294" s="899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896"/>
      <c r="E1295" s="677"/>
      <c r="F1295" s="677"/>
      <c r="G1295" s="677"/>
      <c r="H1295" s="897"/>
      <c r="I1295" s="898"/>
      <c r="J1295" s="898"/>
      <c r="K1295" s="899"/>
      <c r="L1295" s="899"/>
      <c r="M1295" s="899"/>
      <c r="N1295" s="899"/>
      <c r="O1295" s="899"/>
      <c r="P1295" s="899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896"/>
      <c r="E1296" s="677"/>
      <c r="F1296" s="677"/>
      <c r="G1296" s="677"/>
      <c r="H1296" s="897"/>
      <c r="I1296" s="898"/>
      <c r="J1296" s="898"/>
      <c r="K1296" s="899"/>
      <c r="L1296" s="899"/>
      <c r="M1296" s="899"/>
      <c r="N1296" s="899"/>
      <c r="O1296" s="899"/>
      <c r="P1296" s="899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896"/>
      <c r="E1297" s="677"/>
      <c r="F1297" s="677"/>
      <c r="G1297" s="677"/>
      <c r="H1297" s="897"/>
      <c r="I1297" s="898"/>
      <c r="J1297" s="898"/>
      <c r="K1297" s="899"/>
      <c r="L1297" s="899"/>
      <c r="M1297" s="899"/>
      <c r="N1297" s="899"/>
      <c r="O1297" s="899"/>
      <c r="P1297" s="899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896"/>
      <c r="E1298" s="677"/>
      <c r="F1298" s="677"/>
      <c r="G1298" s="677"/>
      <c r="H1298" s="897"/>
      <c r="I1298" s="898"/>
      <c r="J1298" s="898"/>
      <c r="K1298" s="899"/>
      <c r="L1298" s="899"/>
      <c r="M1298" s="899"/>
      <c r="N1298" s="899"/>
      <c r="O1298" s="899"/>
      <c r="P1298" s="899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896"/>
      <c r="E1299" s="677"/>
      <c r="F1299" s="677"/>
      <c r="G1299" s="677"/>
      <c r="H1299" s="897"/>
      <c r="I1299" s="898"/>
      <c r="J1299" s="898"/>
      <c r="K1299" s="899"/>
      <c r="L1299" s="899"/>
      <c r="M1299" s="899"/>
      <c r="N1299" s="899"/>
      <c r="O1299" s="899"/>
      <c r="P1299" s="899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896"/>
      <c r="E1300" s="677"/>
      <c r="F1300" s="677"/>
      <c r="G1300" s="677"/>
      <c r="H1300" s="897"/>
      <c r="I1300" s="898"/>
      <c r="J1300" s="898"/>
      <c r="K1300" s="899"/>
      <c r="L1300" s="899"/>
      <c r="M1300" s="899"/>
      <c r="N1300" s="899"/>
      <c r="O1300" s="899"/>
      <c r="P1300" s="899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896"/>
      <c r="E1301" s="677"/>
      <c r="F1301" s="677"/>
      <c r="G1301" s="677"/>
      <c r="H1301" s="897"/>
      <c r="I1301" s="898"/>
      <c r="J1301" s="898"/>
      <c r="K1301" s="899"/>
      <c r="L1301" s="899"/>
      <c r="M1301" s="899"/>
      <c r="N1301" s="899"/>
      <c r="O1301" s="899"/>
      <c r="P1301" s="899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896"/>
      <c r="E1302" s="677"/>
      <c r="F1302" s="677"/>
      <c r="G1302" s="677"/>
      <c r="H1302" s="897"/>
      <c r="I1302" s="898"/>
      <c r="J1302" s="898"/>
      <c r="K1302" s="899"/>
      <c r="L1302" s="899"/>
      <c r="M1302" s="899"/>
      <c r="N1302" s="899"/>
      <c r="O1302" s="899"/>
      <c r="P1302" s="899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896"/>
      <c r="E1303" s="677"/>
      <c r="F1303" s="677"/>
      <c r="G1303" s="677"/>
      <c r="H1303" s="897"/>
      <c r="I1303" s="898"/>
      <c r="J1303" s="898"/>
      <c r="K1303" s="899"/>
      <c r="L1303" s="899"/>
      <c r="M1303" s="899"/>
      <c r="N1303" s="899"/>
      <c r="O1303" s="899"/>
      <c r="P1303" s="899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896"/>
      <c r="E1304" s="677"/>
      <c r="F1304" s="677"/>
      <c r="G1304" s="677"/>
      <c r="H1304" s="897"/>
      <c r="I1304" s="898"/>
      <c r="J1304" s="898"/>
      <c r="K1304" s="899"/>
      <c r="L1304" s="899"/>
      <c r="M1304" s="899"/>
      <c r="N1304" s="899"/>
      <c r="O1304" s="899"/>
      <c r="P1304" s="899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896"/>
      <c r="E1305" s="677"/>
      <c r="F1305" s="677"/>
      <c r="G1305" s="677"/>
      <c r="H1305" s="897"/>
      <c r="I1305" s="898"/>
      <c r="J1305" s="898"/>
      <c r="K1305" s="899"/>
      <c r="L1305" s="899"/>
      <c r="M1305" s="899"/>
      <c r="N1305" s="899"/>
      <c r="O1305" s="899"/>
      <c r="P1305" s="899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896"/>
      <c r="E1306" s="677"/>
      <c r="F1306" s="677"/>
      <c r="G1306" s="677"/>
      <c r="H1306" s="897"/>
      <c r="I1306" s="898"/>
      <c r="J1306" s="898"/>
      <c r="K1306" s="899"/>
      <c r="L1306" s="899"/>
      <c r="M1306" s="899"/>
      <c r="N1306" s="899"/>
      <c r="O1306" s="899"/>
      <c r="P1306" s="899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896"/>
      <c r="E1307" s="677"/>
      <c r="F1307" s="677"/>
      <c r="G1307" s="677"/>
      <c r="H1307" s="897"/>
      <c r="I1307" s="898"/>
      <c r="J1307" s="898"/>
      <c r="K1307" s="899"/>
      <c r="L1307" s="899"/>
      <c r="M1307" s="899"/>
      <c r="N1307" s="899"/>
      <c r="O1307" s="899"/>
      <c r="P1307" s="899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896"/>
      <c r="E1308" s="677"/>
      <c r="F1308" s="677"/>
      <c r="G1308" s="677"/>
      <c r="H1308" s="897"/>
      <c r="I1308" s="898"/>
      <c r="J1308" s="898"/>
      <c r="K1308" s="899"/>
      <c r="L1308" s="899"/>
      <c r="M1308" s="899"/>
      <c r="N1308" s="899"/>
      <c r="O1308" s="899"/>
      <c r="P1308" s="899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896"/>
      <c r="E1309" s="677"/>
      <c r="F1309" s="677"/>
      <c r="G1309" s="677"/>
      <c r="H1309" s="897"/>
      <c r="I1309" s="898"/>
      <c r="J1309" s="898"/>
      <c r="K1309" s="899"/>
      <c r="L1309" s="899"/>
      <c r="M1309" s="899"/>
      <c r="N1309" s="899"/>
      <c r="O1309" s="899"/>
      <c r="P1309" s="899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896"/>
      <c r="E1310" s="677"/>
      <c r="F1310" s="677"/>
      <c r="G1310" s="677"/>
      <c r="H1310" s="897"/>
      <c r="I1310" s="898"/>
      <c r="J1310" s="898"/>
      <c r="K1310" s="899"/>
      <c r="L1310" s="899"/>
      <c r="M1310" s="899"/>
      <c r="N1310" s="899"/>
      <c r="O1310" s="899"/>
      <c r="P1310" s="899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896"/>
      <c r="E1311" s="677"/>
      <c r="F1311" s="677"/>
      <c r="G1311" s="677"/>
      <c r="H1311" s="897"/>
      <c r="I1311" s="898"/>
      <c r="J1311" s="898"/>
      <c r="K1311" s="899"/>
      <c r="L1311" s="899"/>
      <c r="M1311" s="899"/>
      <c r="N1311" s="899"/>
      <c r="O1311" s="899"/>
      <c r="P1311" s="899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896"/>
      <c r="E1312" s="677"/>
      <c r="F1312" s="677"/>
      <c r="G1312" s="677"/>
      <c r="H1312" s="897"/>
      <c r="I1312" s="898"/>
      <c r="J1312" s="898"/>
      <c r="K1312" s="899"/>
      <c r="L1312" s="899"/>
      <c r="M1312" s="899"/>
      <c r="N1312" s="899"/>
      <c r="O1312" s="899"/>
      <c r="P1312" s="899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896"/>
      <c r="E1313" s="677"/>
      <c r="F1313" s="677"/>
      <c r="G1313" s="677"/>
      <c r="H1313" s="897"/>
      <c r="I1313" s="898"/>
      <c r="J1313" s="898"/>
      <c r="K1313" s="899"/>
      <c r="L1313" s="899"/>
      <c r="M1313" s="899"/>
      <c r="N1313" s="899"/>
      <c r="O1313" s="899"/>
      <c r="P1313" s="899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896"/>
      <c r="E1314" s="677"/>
      <c r="F1314" s="677"/>
      <c r="G1314" s="677"/>
      <c r="H1314" s="897"/>
      <c r="I1314" s="898"/>
      <c r="J1314" s="898"/>
      <c r="K1314" s="899"/>
      <c r="L1314" s="899"/>
      <c r="M1314" s="899"/>
      <c r="N1314" s="899"/>
      <c r="O1314" s="899"/>
      <c r="P1314" s="899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896"/>
      <c r="E1315" s="677"/>
      <c r="F1315" s="677"/>
      <c r="G1315" s="677"/>
      <c r="H1315" s="897"/>
      <c r="I1315" s="898"/>
      <c r="J1315" s="898"/>
      <c r="K1315" s="899"/>
      <c r="L1315" s="899"/>
      <c r="M1315" s="899"/>
      <c r="N1315" s="899"/>
      <c r="O1315" s="899"/>
      <c r="P1315" s="899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896"/>
      <c r="E1316" s="677"/>
      <c r="F1316" s="677"/>
      <c r="G1316" s="677"/>
      <c r="H1316" s="897"/>
      <c r="I1316" s="898"/>
      <c r="J1316" s="898"/>
      <c r="K1316" s="899"/>
      <c r="L1316" s="899"/>
      <c r="M1316" s="899"/>
      <c r="N1316" s="899"/>
      <c r="O1316" s="899"/>
      <c r="P1316" s="899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896"/>
      <c r="E1317" s="677"/>
      <c r="F1317" s="677"/>
      <c r="G1317" s="677"/>
      <c r="H1317" s="897"/>
      <c r="I1317" s="898"/>
      <c r="J1317" s="898"/>
      <c r="K1317" s="899"/>
      <c r="L1317" s="899"/>
      <c r="M1317" s="899"/>
      <c r="N1317" s="899"/>
      <c r="O1317" s="899"/>
      <c r="P1317" s="899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896"/>
      <c r="E1318" s="677"/>
      <c r="F1318" s="677"/>
      <c r="G1318" s="677"/>
      <c r="H1318" s="897"/>
      <c r="I1318" s="898"/>
      <c r="J1318" s="898"/>
      <c r="K1318" s="899"/>
      <c r="L1318" s="899"/>
      <c r="M1318" s="899"/>
      <c r="N1318" s="899"/>
      <c r="O1318" s="899"/>
      <c r="P1318" s="899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896"/>
      <c r="E1319" s="677"/>
      <c r="F1319" s="677"/>
      <c r="G1319" s="677"/>
      <c r="H1319" s="897"/>
      <c r="I1319" s="898"/>
      <c r="J1319" s="898"/>
      <c r="K1319" s="899"/>
      <c r="L1319" s="899"/>
      <c r="M1319" s="899"/>
      <c r="N1319" s="899"/>
      <c r="O1319" s="899"/>
      <c r="P1319" s="899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896"/>
      <c r="E1320" s="677"/>
      <c r="F1320" s="677"/>
      <c r="G1320" s="677"/>
      <c r="H1320" s="897"/>
      <c r="I1320" s="898"/>
      <c r="J1320" s="898"/>
      <c r="K1320" s="899"/>
      <c r="L1320" s="899"/>
      <c r="M1320" s="899"/>
      <c r="N1320" s="899"/>
      <c r="O1320" s="899"/>
      <c r="P1320" s="899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896"/>
      <c r="E1321" s="677"/>
      <c r="F1321" s="677"/>
      <c r="G1321" s="677"/>
      <c r="H1321" s="897"/>
      <c r="I1321" s="898"/>
      <c r="J1321" s="898"/>
      <c r="K1321" s="899"/>
      <c r="L1321" s="899"/>
      <c r="M1321" s="899"/>
      <c r="N1321" s="899"/>
      <c r="O1321" s="899"/>
      <c r="P1321" s="899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896"/>
      <c r="E1322" s="677"/>
      <c r="F1322" s="677"/>
      <c r="G1322" s="677"/>
      <c r="H1322" s="897"/>
      <c r="I1322" s="898"/>
      <c r="J1322" s="898"/>
      <c r="K1322" s="899"/>
      <c r="L1322" s="899"/>
      <c r="M1322" s="899"/>
      <c r="N1322" s="899"/>
      <c r="O1322" s="899"/>
      <c r="P1322" s="899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896"/>
      <c r="E1323" s="677"/>
      <c r="F1323" s="677"/>
      <c r="G1323" s="677"/>
      <c r="H1323" s="897"/>
      <c r="I1323" s="898"/>
      <c r="J1323" s="898"/>
      <c r="K1323" s="899"/>
      <c r="L1323" s="899"/>
      <c r="M1323" s="899"/>
      <c r="N1323" s="899"/>
      <c r="O1323" s="899"/>
      <c r="P1323" s="899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896"/>
      <c r="E1324" s="677"/>
      <c r="F1324" s="677"/>
      <c r="G1324" s="677"/>
      <c r="H1324" s="897"/>
      <c r="I1324" s="898"/>
      <c r="J1324" s="898"/>
      <c r="K1324" s="899"/>
      <c r="L1324" s="899"/>
      <c r="M1324" s="899"/>
      <c r="N1324" s="899"/>
      <c r="O1324" s="899"/>
      <c r="P1324" s="899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896"/>
      <c r="E1325" s="677"/>
      <c r="F1325" s="677"/>
      <c r="G1325" s="677"/>
      <c r="H1325" s="897"/>
      <c r="I1325" s="898"/>
      <c r="J1325" s="898"/>
      <c r="K1325" s="899"/>
      <c r="L1325" s="899"/>
      <c r="M1325" s="899"/>
      <c r="N1325" s="899"/>
      <c r="O1325" s="899"/>
      <c r="P1325" s="899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896"/>
      <c r="E1326" s="677"/>
      <c r="F1326" s="677"/>
      <c r="G1326" s="677"/>
      <c r="H1326" s="897"/>
      <c r="I1326" s="898"/>
      <c r="J1326" s="898"/>
      <c r="K1326" s="899"/>
      <c r="L1326" s="899"/>
      <c r="M1326" s="899"/>
      <c r="N1326" s="899"/>
      <c r="O1326" s="899"/>
      <c r="P1326" s="899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896"/>
      <c r="E1327" s="677"/>
      <c r="F1327" s="677"/>
      <c r="G1327" s="677"/>
      <c r="H1327" s="897"/>
      <c r="I1327" s="898"/>
      <c r="J1327" s="898"/>
      <c r="K1327" s="899"/>
      <c r="L1327" s="899"/>
      <c r="M1327" s="899"/>
      <c r="N1327" s="899"/>
      <c r="O1327" s="899"/>
      <c r="P1327" s="899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896"/>
      <c r="E1328" s="677"/>
      <c r="F1328" s="677"/>
      <c r="G1328" s="677"/>
      <c r="H1328" s="897"/>
      <c r="I1328" s="898"/>
      <c r="J1328" s="898"/>
      <c r="K1328" s="899"/>
      <c r="L1328" s="899"/>
      <c r="M1328" s="899"/>
      <c r="N1328" s="899"/>
      <c r="O1328" s="899"/>
      <c r="P1328" s="899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896"/>
      <c r="E1329" s="677"/>
      <c r="F1329" s="677"/>
      <c r="G1329" s="677"/>
      <c r="H1329" s="897"/>
      <c r="I1329" s="898"/>
      <c r="J1329" s="898"/>
      <c r="K1329" s="899"/>
      <c r="L1329" s="899"/>
      <c r="M1329" s="899"/>
      <c r="N1329" s="899"/>
      <c r="O1329" s="899"/>
      <c r="P1329" s="899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896"/>
      <c r="E1330" s="677"/>
      <c r="F1330" s="677"/>
      <c r="G1330" s="677"/>
      <c r="H1330" s="897"/>
      <c r="I1330" s="898"/>
      <c r="J1330" s="898"/>
      <c r="K1330" s="899"/>
      <c r="L1330" s="899"/>
      <c r="M1330" s="899"/>
      <c r="N1330" s="899"/>
      <c r="O1330" s="899"/>
      <c r="P1330" s="899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896"/>
      <c r="E1331" s="677"/>
      <c r="F1331" s="677"/>
      <c r="G1331" s="677"/>
      <c r="H1331" s="897"/>
      <c r="I1331" s="898"/>
      <c r="J1331" s="898"/>
      <c r="K1331" s="899"/>
      <c r="L1331" s="899"/>
      <c r="M1331" s="899"/>
      <c r="N1331" s="899"/>
      <c r="O1331" s="899"/>
      <c r="P1331" s="899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896"/>
      <c r="E1332" s="677"/>
      <c r="F1332" s="677"/>
      <c r="G1332" s="677"/>
      <c r="H1332" s="897"/>
      <c r="I1332" s="898"/>
      <c r="J1332" s="898"/>
      <c r="K1332" s="899"/>
      <c r="L1332" s="899"/>
      <c r="M1332" s="899"/>
      <c r="N1332" s="899"/>
      <c r="O1332" s="899"/>
      <c r="P1332" s="899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896"/>
      <c r="E1333" s="677"/>
      <c r="F1333" s="677"/>
      <c r="G1333" s="677"/>
      <c r="H1333" s="897"/>
      <c r="I1333" s="898"/>
      <c r="J1333" s="898"/>
      <c r="K1333" s="899"/>
      <c r="L1333" s="899"/>
      <c r="M1333" s="899"/>
      <c r="N1333" s="899"/>
      <c r="O1333" s="899"/>
      <c r="P1333" s="899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896"/>
      <c r="E1334" s="677"/>
      <c r="F1334" s="677"/>
      <c r="G1334" s="677"/>
      <c r="H1334" s="897"/>
      <c r="I1334" s="898"/>
      <c r="J1334" s="898"/>
      <c r="K1334" s="899"/>
      <c r="L1334" s="899"/>
      <c r="M1334" s="899"/>
      <c r="N1334" s="899"/>
      <c r="O1334" s="899"/>
      <c r="P1334" s="899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896"/>
      <c r="E1335" s="677"/>
      <c r="F1335" s="677"/>
      <c r="G1335" s="677"/>
      <c r="H1335" s="897"/>
      <c r="I1335" s="898"/>
      <c r="J1335" s="898"/>
      <c r="K1335" s="899"/>
      <c r="L1335" s="899"/>
      <c r="M1335" s="899"/>
      <c r="N1335" s="899"/>
      <c r="O1335" s="899"/>
      <c r="P1335" s="899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896"/>
      <c r="E1336" s="677"/>
      <c r="F1336" s="677"/>
      <c r="G1336" s="677"/>
      <c r="H1336" s="897"/>
      <c r="I1336" s="898"/>
      <c r="J1336" s="898"/>
      <c r="K1336" s="899"/>
      <c r="L1336" s="899"/>
      <c r="M1336" s="899"/>
      <c r="N1336" s="899"/>
      <c r="O1336" s="899"/>
      <c r="P1336" s="899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896"/>
      <c r="E1337" s="677"/>
      <c r="F1337" s="677"/>
      <c r="G1337" s="677"/>
      <c r="H1337" s="897"/>
      <c r="I1337" s="898"/>
      <c r="J1337" s="898"/>
      <c r="K1337" s="899"/>
      <c r="L1337" s="899"/>
      <c r="M1337" s="899"/>
      <c r="N1337" s="899"/>
      <c r="O1337" s="899"/>
      <c r="P1337" s="899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896"/>
      <c r="E1338" s="677"/>
      <c r="F1338" s="677"/>
      <c r="G1338" s="677"/>
      <c r="H1338" s="897"/>
      <c r="I1338" s="898"/>
      <c r="J1338" s="898"/>
      <c r="K1338" s="899"/>
      <c r="L1338" s="899"/>
      <c r="M1338" s="899"/>
      <c r="N1338" s="899"/>
      <c r="O1338" s="899"/>
      <c r="P1338" s="899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896"/>
      <c r="E1339" s="677"/>
      <c r="F1339" s="677"/>
      <c r="G1339" s="677"/>
      <c r="H1339" s="897"/>
      <c r="I1339" s="898"/>
      <c r="J1339" s="898"/>
      <c r="K1339" s="899"/>
      <c r="L1339" s="899"/>
      <c r="M1339" s="899"/>
      <c r="N1339" s="899"/>
      <c r="O1339" s="899"/>
      <c r="P1339" s="899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896"/>
      <c r="E1340" s="677"/>
      <c r="F1340" s="677"/>
      <c r="G1340" s="677"/>
      <c r="H1340" s="897"/>
      <c r="I1340" s="898"/>
      <c r="J1340" s="898"/>
      <c r="K1340" s="899"/>
      <c r="L1340" s="899"/>
      <c r="M1340" s="899"/>
      <c r="N1340" s="899"/>
      <c r="O1340" s="899"/>
      <c r="P1340" s="899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896"/>
      <c r="E1341" s="677"/>
      <c r="F1341" s="677"/>
      <c r="G1341" s="677"/>
      <c r="H1341" s="897"/>
      <c r="I1341" s="898"/>
      <c r="J1341" s="898"/>
      <c r="K1341" s="899"/>
      <c r="L1341" s="899"/>
      <c r="M1341" s="899"/>
      <c r="N1341" s="899"/>
      <c r="O1341" s="899"/>
      <c r="P1341" s="899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896"/>
      <c r="E1342" s="677"/>
      <c r="F1342" s="677"/>
      <c r="G1342" s="677"/>
      <c r="H1342" s="897"/>
      <c r="I1342" s="898"/>
      <c r="J1342" s="898"/>
      <c r="K1342" s="899"/>
      <c r="L1342" s="899"/>
      <c r="M1342" s="899"/>
      <c r="N1342" s="899"/>
      <c r="O1342" s="899"/>
      <c r="P1342" s="899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896"/>
      <c r="E1343" s="677"/>
      <c r="F1343" s="677"/>
      <c r="G1343" s="677"/>
      <c r="H1343" s="897"/>
      <c r="I1343" s="898"/>
      <c r="J1343" s="898"/>
      <c r="K1343" s="899"/>
      <c r="L1343" s="899"/>
      <c r="M1343" s="899"/>
      <c r="N1343" s="899"/>
      <c r="O1343" s="899"/>
      <c r="P1343" s="899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896"/>
      <c r="E1344" s="677"/>
      <c r="F1344" s="677"/>
      <c r="G1344" s="677"/>
      <c r="H1344" s="897"/>
      <c r="I1344" s="898"/>
      <c r="J1344" s="898"/>
      <c r="K1344" s="899"/>
      <c r="L1344" s="899"/>
      <c r="M1344" s="899"/>
      <c r="N1344" s="899"/>
      <c r="O1344" s="899"/>
      <c r="P1344" s="899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896"/>
      <c r="E1345" s="677"/>
      <c r="F1345" s="677"/>
      <c r="G1345" s="677"/>
      <c r="H1345" s="897"/>
      <c r="I1345" s="898"/>
      <c r="J1345" s="898"/>
      <c r="K1345" s="899"/>
      <c r="L1345" s="899"/>
      <c r="M1345" s="899"/>
      <c r="N1345" s="899"/>
      <c r="O1345" s="899"/>
      <c r="P1345" s="899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896"/>
      <c r="E1346" s="677"/>
      <c r="F1346" s="677"/>
      <c r="G1346" s="677"/>
      <c r="H1346" s="897"/>
      <c r="I1346" s="898"/>
      <c r="J1346" s="898"/>
      <c r="K1346" s="899"/>
      <c r="L1346" s="899"/>
      <c r="M1346" s="899"/>
      <c r="N1346" s="899"/>
      <c r="O1346" s="899"/>
      <c r="P1346" s="899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896"/>
      <c r="E1347" s="677"/>
      <c r="F1347" s="677"/>
      <c r="G1347" s="677"/>
      <c r="H1347" s="897"/>
      <c r="I1347" s="898"/>
      <c r="J1347" s="898"/>
      <c r="K1347" s="899"/>
      <c r="L1347" s="899"/>
      <c r="M1347" s="899"/>
      <c r="N1347" s="899"/>
      <c r="O1347" s="899"/>
      <c r="P1347" s="899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896"/>
      <c r="E1348" s="677"/>
      <c r="F1348" s="677"/>
      <c r="G1348" s="677"/>
      <c r="H1348" s="897"/>
      <c r="I1348" s="898"/>
      <c r="J1348" s="898"/>
      <c r="K1348" s="899"/>
      <c r="L1348" s="899"/>
      <c r="M1348" s="899"/>
      <c r="N1348" s="899"/>
      <c r="O1348" s="899"/>
      <c r="P1348" s="899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896"/>
      <c r="E1349" s="677"/>
      <c r="F1349" s="677"/>
      <c r="G1349" s="677"/>
      <c r="H1349" s="897"/>
      <c r="I1349" s="898"/>
      <c r="J1349" s="898"/>
      <c r="K1349" s="899"/>
      <c r="L1349" s="899"/>
      <c r="M1349" s="899"/>
      <c r="N1349" s="899"/>
      <c r="O1349" s="899"/>
      <c r="P1349" s="899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896"/>
      <c r="E1350" s="677"/>
      <c r="F1350" s="677"/>
      <c r="G1350" s="677"/>
      <c r="H1350" s="897"/>
      <c r="I1350" s="898"/>
      <c r="J1350" s="898"/>
      <c r="K1350" s="899"/>
      <c r="L1350" s="899"/>
      <c r="M1350" s="899"/>
      <c r="N1350" s="899"/>
      <c r="O1350" s="899"/>
      <c r="P1350" s="899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896"/>
      <c r="E1351" s="677"/>
      <c r="F1351" s="677"/>
      <c r="G1351" s="677"/>
      <c r="H1351" s="897"/>
      <c r="I1351" s="898"/>
      <c r="J1351" s="898"/>
      <c r="K1351" s="899"/>
      <c r="L1351" s="899"/>
      <c r="M1351" s="899"/>
      <c r="N1351" s="899"/>
      <c r="O1351" s="899"/>
      <c r="P1351" s="899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896"/>
      <c r="E1352" s="677"/>
      <c r="F1352" s="677"/>
      <c r="G1352" s="677"/>
      <c r="H1352" s="897"/>
      <c r="I1352" s="898"/>
      <c r="J1352" s="898"/>
      <c r="K1352" s="899"/>
      <c r="L1352" s="899"/>
      <c r="M1352" s="899"/>
      <c r="N1352" s="899"/>
      <c r="O1352" s="899"/>
      <c r="P1352" s="899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896"/>
      <c r="E1353" s="677"/>
      <c r="F1353" s="677"/>
      <c r="G1353" s="677"/>
      <c r="H1353" s="897"/>
      <c r="I1353" s="898"/>
      <c r="J1353" s="898"/>
      <c r="K1353" s="899"/>
      <c r="L1353" s="899"/>
      <c r="M1353" s="899"/>
      <c r="N1353" s="899"/>
      <c r="O1353" s="899"/>
      <c r="P1353" s="899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896"/>
      <c r="E1354" s="677"/>
      <c r="F1354" s="677"/>
      <c r="G1354" s="677"/>
      <c r="H1354" s="897"/>
      <c r="I1354" s="898"/>
      <c r="J1354" s="898"/>
      <c r="K1354" s="899"/>
      <c r="L1354" s="899"/>
      <c r="M1354" s="899"/>
      <c r="N1354" s="899"/>
      <c r="O1354" s="899"/>
      <c r="P1354" s="899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896"/>
      <c r="E1355" s="677"/>
      <c r="F1355" s="677"/>
      <c r="G1355" s="677"/>
      <c r="H1355" s="897"/>
      <c r="I1355" s="898"/>
      <c r="J1355" s="898"/>
      <c r="K1355" s="899"/>
      <c r="L1355" s="899"/>
      <c r="M1355" s="899"/>
      <c r="N1355" s="899"/>
      <c r="O1355" s="899"/>
      <c r="P1355" s="899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896"/>
      <c r="E1356" s="677"/>
      <c r="F1356" s="677"/>
      <c r="G1356" s="677"/>
      <c r="H1356" s="897"/>
      <c r="I1356" s="898"/>
      <c r="J1356" s="898"/>
      <c r="K1356" s="899"/>
      <c r="L1356" s="899"/>
      <c r="M1356" s="899"/>
      <c r="N1356" s="899"/>
      <c r="O1356" s="899"/>
      <c r="P1356" s="899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896"/>
      <c r="E1357" s="677"/>
      <c r="F1357" s="677"/>
      <c r="G1357" s="677"/>
      <c r="H1357" s="897"/>
      <c r="I1357" s="898"/>
      <c r="J1357" s="898"/>
      <c r="K1357" s="899"/>
      <c r="L1357" s="899"/>
      <c r="M1357" s="899"/>
      <c r="N1357" s="899"/>
      <c r="O1357" s="899"/>
      <c r="P1357" s="899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896"/>
      <c r="E1358" s="677"/>
      <c r="F1358" s="677"/>
      <c r="G1358" s="677"/>
      <c r="H1358" s="897"/>
      <c r="I1358" s="898"/>
      <c r="J1358" s="898"/>
      <c r="K1358" s="899"/>
      <c r="L1358" s="899"/>
      <c r="M1358" s="899"/>
      <c r="N1358" s="899"/>
      <c r="O1358" s="899"/>
      <c r="P1358" s="899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896"/>
      <c r="E1359" s="677"/>
      <c r="F1359" s="677"/>
      <c r="G1359" s="677"/>
      <c r="H1359" s="897"/>
      <c r="I1359" s="898"/>
      <c r="J1359" s="898"/>
      <c r="K1359" s="899"/>
      <c r="L1359" s="899"/>
      <c r="M1359" s="899"/>
      <c r="N1359" s="899"/>
      <c r="O1359" s="899"/>
      <c r="P1359" s="899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896"/>
      <c r="E1360" s="677"/>
      <c r="F1360" s="677"/>
      <c r="G1360" s="677"/>
      <c r="H1360" s="897"/>
      <c r="I1360" s="898"/>
      <c r="J1360" s="898"/>
      <c r="K1360" s="899"/>
      <c r="L1360" s="899"/>
      <c r="M1360" s="899"/>
      <c r="N1360" s="899"/>
      <c r="O1360" s="899"/>
      <c r="P1360" s="899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896"/>
      <c r="E1361" s="677"/>
      <c r="F1361" s="677"/>
      <c r="G1361" s="677"/>
      <c r="H1361" s="897"/>
      <c r="I1361" s="898"/>
      <c r="J1361" s="898"/>
      <c r="K1361" s="899"/>
      <c r="L1361" s="899"/>
      <c r="M1361" s="899"/>
      <c r="N1361" s="899"/>
      <c r="O1361" s="899"/>
      <c r="P1361" s="899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896"/>
      <c r="E1362" s="677"/>
      <c r="F1362" s="677"/>
      <c r="G1362" s="677"/>
      <c r="H1362" s="897"/>
      <c r="I1362" s="898"/>
      <c r="J1362" s="898"/>
      <c r="K1362" s="899"/>
      <c r="L1362" s="899"/>
      <c r="M1362" s="899"/>
      <c r="N1362" s="899"/>
      <c r="O1362" s="899"/>
      <c r="P1362" s="899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896"/>
      <c r="E1363" s="677"/>
      <c r="F1363" s="677"/>
      <c r="G1363" s="677"/>
      <c r="H1363" s="897"/>
      <c r="I1363" s="898"/>
      <c r="J1363" s="898"/>
      <c r="K1363" s="899"/>
      <c r="L1363" s="899"/>
      <c r="M1363" s="899"/>
      <c r="N1363" s="899"/>
      <c r="O1363" s="899"/>
      <c r="P1363" s="899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896"/>
      <c r="E1364" s="677"/>
      <c r="F1364" s="677"/>
      <c r="G1364" s="677"/>
      <c r="H1364" s="897"/>
      <c r="I1364" s="898"/>
      <c r="J1364" s="898"/>
      <c r="K1364" s="899"/>
      <c r="L1364" s="899"/>
      <c r="M1364" s="899"/>
      <c r="N1364" s="899"/>
      <c r="O1364" s="899"/>
      <c r="P1364" s="899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896"/>
      <c r="E1365" s="677"/>
      <c r="F1365" s="677"/>
      <c r="G1365" s="677"/>
      <c r="H1365" s="897"/>
      <c r="I1365" s="898"/>
      <c r="J1365" s="898"/>
      <c r="K1365" s="899"/>
      <c r="L1365" s="899"/>
      <c r="M1365" s="899"/>
      <c r="N1365" s="899"/>
      <c r="O1365" s="899"/>
      <c r="P1365" s="899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896"/>
      <c r="E1366" s="677"/>
      <c r="F1366" s="677"/>
      <c r="G1366" s="677"/>
      <c r="H1366" s="897"/>
      <c r="I1366" s="898"/>
      <c r="J1366" s="898"/>
      <c r="K1366" s="899"/>
      <c r="L1366" s="899"/>
      <c r="M1366" s="899"/>
      <c r="N1366" s="899"/>
      <c r="O1366" s="899"/>
      <c r="P1366" s="899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896"/>
      <c r="E1367" s="677"/>
      <c r="F1367" s="677"/>
      <c r="G1367" s="677"/>
      <c r="H1367" s="897"/>
      <c r="I1367" s="898"/>
      <c r="J1367" s="898"/>
      <c r="K1367" s="899"/>
      <c r="L1367" s="899"/>
      <c r="M1367" s="899"/>
      <c r="N1367" s="899"/>
      <c r="O1367" s="899"/>
      <c r="P1367" s="899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896"/>
      <c r="E1368" s="677"/>
      <c r="F1368" s="677"/>
      <c r="G1368" s="677"/>
      <c r="H1368" s="897"/>
      <c r="I1368" s="898"/>
      <c r="J1368" s="898"/>
      <c r="K1368" s="899"/>
      <c r="L1368" s="899"/>
      <c r="M1368" s="899"/>
      <c r="N1368" s="899"/>
      <c r="O1368" s="899"/>
      <c r="P1368" s="899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896"/>
      <c r="E1369" s="677"/>
      <c r="F1369" s="677"/>
      <c r="G1369" s="677"/>
      <c r="H1369" s="897"/>
      <c r="I1369" s="898"/>
      <c r="J1369" s="898"/>
      <c r="K1369" s="899"/>
      <c r="L1369" s="899"/>
      <c r="M1369" s="899"/>
      <c r="N1369" s="899"/>
      <c r="O1369" s="899"/>
      <c r="P1369" s="899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896"/>
      <c r="E1370" s="677"/>
      <c r="F1370" s="677"/>
      <c r="G1370" s="677"/>
      <c r="H1370" s="897"/>
      <c r="I1370" s="898"/>
      <c r="J1370" s="898"/>
      <c r="K1370" s="899"/>
      <c r="L1370" s="899"/>
      <c r="M1370" s="899"/>
      <c r="N1370" s="899"/>
      <c r="O1370" s="899"/>
      <c r="P1370" s="899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896"/>
      <c r="E1371" s="677"/>
      <c r="F1371" s="677"/>
      <c r="G1371" s="677"/>
      <c r="H1371" s="897"/>
      <c r="I1371" s="898"/>
      <c r="J1371" s="898"/>
      <c r="K1371" s="899"/>
      <c r="L1371" s="899"/>
      <c r="M1371" s="899"/>
      <c r="N1371" s="899"/>
      <c r="O1371" s="899"/>
      <c r="P1371" s="899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896"/>
      <c r="E1372" s="677"/>
      <c r="F1372" s="677"/>
      <c r="G1372" s="677"/>
      <c r="H1372" s="897"/>
      <c r="I1372" s="898"/>
      <c r="J1372" s="898"/>
      <c r="K1372" s="899"/>
      <c r="L1372" s="899"/>
      <c r="M1372" s="899"/>
      <c r="N1372" s="899"/>
      <c r="O1372" s="899"/>
      <c r="P1372" s="899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896"/>
      <c r="E1373" s="677"/>
      <c r="F1373" s="677"/>
      <c r="G1373" s="677"/>
      <c r="H1373" s="897"/>
      <c r="I1373" s="898"/>
      <c r="J1373" s="898"/>
      <c r="K1373" s="899"/>
      <c r="L1373" s="899"/>
      <c r="M1373" s="899"/>
      <c r="N1373" s="899"/>
      <c r="O1373" s="899"/>
      <c r="P1373" s="899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896"/>
      <c r="E1374" s="677"/>
      <c r="F1374" s="677"/>
      <c r="G1374" s="677"/>
      <c r="H1374" s="897"/>
      <c r="I1374" s="898"/>
      <c r="J1374" s="898"/>
      <c r="K1374" s="899"/>
      <c r="L1374" s="899"/>
      <c r="M1374" s="899"/>
      <c r="N1374" s="899"/>
      <c r="O1374" s="899"/>
      <c r="P1374" s="899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896"/>
      <c r="E1375" s="677"/>
      <c r="F1375" s="677"/>
      <c r="G1375" s="677"/>
      <c r="H1375" s="897"/>
      <c r="I1375" s="898"/>
      <c r="J1375" s="898"/>
      <c r="K1375" s="899"/>
      <c r="L1375" s="899"/>
      <c r="M1375" s="899"/>
      <c r="N1375" s="899"/>
      <c r="O1375" s="899"/>
      <c r="P1375" s="899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896"/>
      <c r="E1376" s="677"/>
      <c r="F1376" s="677"/>
      <c r="G1376" s="677"/>
      <c r="H1376" s="897"/>
      <c r="I1376" s="898"/>
      <c r="J1376" s="898"/>
      <c r="K1376" s="899"/>
      <c r="L1376" s="899"/>
      <c r="M1376" s="899"/>
      <c r="N1376" s="899"/>
      <c r="O1376" s="899"/>
      <c r="P1376" s="899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896"/>
      <c r="E1377" s="677"/>
      <c r="F1377" s="677"/>
      <c r="G1377" s="677"/>
      <c r="H1377" s="897"/>
      <c r="I1377" s="898"/>
      <c r="J1377" s="898"/>
      <c r="K1377" s="899"/>
      <c r="L1377" s="899"/>
      <c r="M1377" s="899"/>
      <c r="N1377" s="899"/>
      <c r="O1377" s="899"/>
      <c r="P1377" s="899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896"/>
      <c r="E1378" s="677"/>
      <c r="F1378" s="677"/>
      <c r="G1378" s="677"/>
      <c r="H1378" s="897"/>
      <c r="I1378" s="898"/>
      <c r="J1378" s="898"/>
      <c r="K1378" s="899"/>
      <c r="L1378" s="899"/>
      <c r="M1378" s="899"/>
      <c r="N1378" s="899"/>
      <c r="O1378" s="899"/>
      <c r="P1378" s="899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896"/>
      <c r="E1379" s="677"/>
      <c r="F1379" s="677"/>
      <c r="G1379" s="677"/>
      <c r="H1379" s="897"/>
      <c r="I1379" s="898"/>
      <c r="J1379" s="898"/>
      <c r="K1379" s="899"/>
      <c r="L1379" s="899"/>
      <c r="M1379" s="899"/>
      <c r="N1379" s="899"/>
      <c r="O1379" s="899"/>
      <c r="P1379" s="899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896"/>
      <c r="E1380" s="677"/>
      <c r="F1380" s="677"/>
      <c r="G1380" s="677"/>
      <c r="H1380" s="897"/>
      <c r="I1380" s="898"/>
      <c r="J1380" s="898"/>
      <c r="K1380" s="899"/>
      <c r="L1380" s="899"/>
      <c r="M1380" s="899"/>
      <c r="N1380" s="899"/>
      <c r="O1380" s="899"/>
      <c r="P1380" s="899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896"/>
      <c r="E1381" s="677"/>
      <c r="F1381" s="677"/>
      <c r="G1381" s="677"/>
      <c r="H1381" s="897"/>
      <c r="I1381" s="898"/>
      <c r="J1381" s="898"/>
      <c r="K1381" s="899"/>
      <c r="L1381" s="899"/>
      <c r="M1381" s="899"/>
      <c r="N1381" s="899"/>
      <c r="O1381" s="899"/>
      <c r="P1381" s="899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896"/>
      <c r="E1382" s="677"/>
      <c r="F1382" s="677"/>
      <c r="G1382" s="677"/>
      <c r="H1382" s="897"/>
      <c r="I1382" s="898"/>
      <c r="J1382" s="898"/>
      <c r="K1382" s="899"/>
      <c r="L1382" s="899"/>
      <c r="M1382" s="899"/>
      <c r="N1382" s="899"/>
      <c r="O1382" s="899"/>
      <c r="P1382" s="899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896"/>
      <c r="E1383" s="677"/>
      <c r="F1383" s="677"/>
      <c r="G1383" s="677"/>
      <c r="H1383" s="897"/>
      <c r="I1383" s="898"/>
      <c r="J1383" s="898"/>
      <c r="K1383" s="899"/>
      <c r="L1383" s="899"/>
      <c r="M1383" s="899"/>
      <c r="N1383" s="899"/>
      <c r="O1383" s="899"/>
      <c r="P1383" s="899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896"/>
      <c r="E1384" s="677"/>
      <c r="F1384" s="677"/>
      <c r="G1384" s="677"/>
      <c r="H1384" s="897"/>
      <c r="I1384" s="898"/>
      <c r="J1384" s="898"/>
      <c r="K1384" s="899"/>
      <c r="L1384" s="899"/>
      <c r="M1384" s="899"/>
      <c r="N1384" s="899"/>
      <c r="O1384" s="899"/>
      <c r="P1384" s="899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896"/>
      <c r="E1385" s="677"/>
      <c r="F1385" s="677"/>
      <c r="G1385" s="677"/>
      <c r="H1385" s="897"/>
      <c r="I1385" s="898"/>
      <c r="J1385" s="898"/>
      <c r="K1385" s="899"/>
      <c r="L1385" s="899"/>
      <c r="M1385" s="899"/>
      <c r="N1385" s="899"/>
      <c r="O1385" s="899"/>
      <c r="P1385" s="899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896"/>
      <c r="E1386" s="677"/>
      <c r="F1386" s="677"/>
      <c r="G1386" s="677"/>
      <c r="H1386" s="897"/>
      <c r="I1386" s="898"/>
      <c r="J1386" s="898"/>
      <c r="K1386" s="899"/>
      <c r="L1386" s="899"/>
      <c r="M1386" s="899"/>
      <c r="N1386" s="899"/>
      <c r="O1386" s="899"/>
      <c r="P1386" s="899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896"/>
      <c r="E1387" s="677"/>
      <c r="F1387" s="677"/>
      <c r="G1387" s="677"/>
      <c r="H1387" s="897"/>
      <c r="I1387" s="898"/>
      <c r="J1387" s="898"/>
      <c r="K1387" s="899"/>
      <c r="L1387" s="899"/>
      <c r="M1387" s="899"/>
      <c r="N1387" s="899"/>
      <c r="O1387" s="899"/>
      <c r="P1387" s="899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896"/>
      <c r="E1388" s="677"/>
      <c r="F1388" s="677"/>
      <c r="G1388" s="677"/>
      <c r="H1388" s="897"/>
      <c r="I1388" s="898"/>
      <c r="J1388" s="898"/>
      <c r="K1388" s="899"/>
      <c r="L1388" s="899"/>
      <c r="M1388" s="899"/>
      <c r="N1388" s="899"/>
      <c r="O1388" s="899"/>
      <c r="P1388" s="899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896"/>
      <c r="E1389" s="677"/>
      <c r="F1389" s="677"/>
      <c r="G1389" s="677"/>
      <c r="H1389" s="897"/>
      <c r="I1389" s="898"/>
      <c r="J1389" s="898"/>
      <c r="K1389" s="899"/>
      <c r="L1389" s="899"/>
      <c r="M1389" s="899"/>
      <c r="N1389" s="899"/>
      <c r="O1389" s="899"/>
      <c r="P1389" s="899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896"/>
      <c r="E1390" s="677"/>
      <c r="F1390" s="677"/>
      <c r="G1390" s="677"/>
      <c r="H1390" s="897"/>
      <c r="I1390" s="898"/>
      <c r="J1390" s="898"/>
      <c r="K1390" s="899"/>
      <c r="L1390" s="899"/>
      <c r="M1390" s="899"/>
      <c r="N1390" s="899"/>
      <c r="O1390" s="899"/>
      <c r="P1390" s="899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896"/>
      <c r="E1391" s="677"/>
      <c r="F1391" s="677"/>
      <c r="G1391" s="677"/>
      <c r="H1391" s="897"/>
      <c r="I1391" s="898"/>
      <c r="J1391" s="898"/>
      <c r="K1391" s="899"/>
      <c r="L1391" s="899"/>
      <c r="M1391" s="899"/>
      <c r="N1391" s="899"/>
      <c r="O1391" s="899"/>
      <c r="P1391" s="899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896"/>
      <c r="E1392" s="677"/>
      <c r="F1392" s="677"/>
      <c r="G1392" s="677"/>
      <c r="H1392" s="897"/>
      <c r="I1392" s="898"/>
      <c r="J1392" s="898"/>
      <c r="K1392" s="899"/>
      <c r="L1392" s="899"/>
      <c r="M1392" s="899"/>
      <c r="N1392" s="899"/>
      <c r="O1392" s="899"/>
      <c r="P1392" s="899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896"/>
      <c r="E1393" s="677"/>
      <c r="F1393" s="677"/>
      <c r="G1393" s="677"/>
      <c r="H1393" s="897"/>
      <c r="I1393" s="898"/>
      <c r="J1393" s="898"/>
      <c r="K1393" s="899"/>
      <c r="L1393" s="899"/>
      <c r="M1393" s="899"/>
      <c r="N1393" s="899"/>
      <c r="O1393" s="899"/>
      <c r="P1393" s="899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896"/>
      <c r="E1394" s="677"/>
      <c r="F1394" s="677"/>
      <c r="G1394" s="677"/>
      <c r="H1394" s="897"/>
      <c r="I1394" s="898"/>
      <c r="J1394" s="898"/>
      <c r="K1394" s="899"/>
      <c r="L1394" s="899"/>
      <c r="M1394" s="899"/>
      <c r="N1394" s="899"/>
      <c r="O1394" s="899"/>
      <c r="P1394" s="899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896"/>
      <c r="E1395" s="677"/>
      <c r="F1395" s="677"/>
      <c r="G1395" s="677"/>
      <c r="H1395" s="897"/>
      <c r="I1395" s="898"/>
      <c r="J1395" s="898"/>
      <c r="K1395" s="899"/>
      <c r="L1395" s="899"/>
      <c r="M1395" s="899"/>
      <c r="N1395" s="899"/>
      <c r="O1395" s="899"/>
      <c r="P1395" s="899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896"/>
      <c r="E1396" s="677"/>
      <c r="F1396" s="677"/>
      <c r="G1396" s="677"/>
      <c r="H1396" s="897"/>
      <c r="I1396" s="898"/>
      <c r="J1396" s="898"/>
      <c r="K1396" s="899"/>
      <c r="L1396" s="899"/>
      <c r="M1396" s="899"/>
      <c r="N1396" s="899"/>
      <c r="O1396" s="899"/>
      <c r="P1396" s="899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896"/>
      <c r="E1397" s="677"/>
      <c r="F1397" s="677"/>
      <c r="G1397" s="677"/>
      <c r="H1397" s="897"/>
      <c r="I1397" s="898"/>
      <c r="J1397" s="898"/>
      <c r="K1397" s="899"/>
      <c r="L1397" s="899"/>
      <c r="M1397" s="899"/>
      <c r="N1397" s="899"/>
      <c r="O1397" s="899"/>
      <c r="P1397" s="899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896"/>
      <c r="E1398" s="677"/>
      <c r="F1398" s="677"/>
      <c r="G1398" s="677"/>
      <c r="H1398" s="897"/>
      <c r="I1398" s="898"/>
      <c r="J1398" s="898"/>
      <c r="K1398" s="899"/>
      <c r="L1398" s="899"/>
      <c r="M1398" s="899"/>
      <c r="N1398" s="899"/>
      <c r="O1398" s="899"/>
      <c r="P1398" s="899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896"/>
      <c r="E1399" s="677"/>
      <c r="F1399" s="677"/>
      <c r="G1399" s="677"/>
      <c r="H1399" s="897"/>
      <c r="I1399" s="898"/>
      <c r="J1399" s="898"/>
      <c r="K1399" s="899"/>
      <c r="L1399" s="899"/>
      <c r="M1399" s="899"/>
      <c r="N1399" s="899"/>
      <c r="O1399" s="899"/>
      <c r="P1399" s="899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896"/>
      <c r="E1400" s="677"/>
      <c r="F1400" s="677"/>
      <c r="G1400" s="677"/>
      <c r="H1400" s="897"/>
      <c r="I1400" s="898"/>
      <c r="J1400" s="898"/>
      <c r="K1400" s="899"/>
      <c r="L1400" s="899"/>
      <c r="M1400" s="899"/>
      <c r="N1400" s="899"/>
      <c r="O1400" s="899"/>
      <c r="P1400" s="899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896"/>
      <c r="E1401" s="677"/>
      <c r="F1401" s="677"/>
      <c r="G1401" s="677"/>
      <c r="H1401" s="897"/>
      <c r="I1401" s="898"/>
      <c r="J1401" s="898"/>
      <c r="K1401" s="899"/>
      <c r="L1401" s="899"/>
      <c r="M1401" s="899"/>
      <c r="N1401" s="899"/>
      <c r="O1401" s="899"/>
      <c r="P1401" s="899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896"/>
      <c r="E1402" s="677"/>
      <c r="F1402" s="677"/>
      <c r="G1402" s="677"/>
      <c r="H1402" s="897"/>
      <c r="I1402" s="898"/>
      <c r="J1402" s="898"/>
      <c r="K1402" s="899"/>
      <c r="L1402" s="899"/>
      <c r="M1402" s="899"/>
      <c r="N1402" s="899"/>
      <c r="O1402" s="899"/>
      <c r="P1402" s="899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896"/>
      <c r="E1403" s="677"/>
      <c r="F1403" s="677"/>
      <c r="G1403" s="677"/>
      <c r="H1403" s="897"/>
      <c r="I1403" s="898"/>
      <c r="J1403" s="898"/>
      <c r="K1403" s="899"/>
      <c r="L1403" s="899"/>
      <c r="M1403" s="899"/>
      <c r="N1403" s="899"/>
      <c r="O1403" s="899"/>
      <c r="P1403" s="899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896"/>
      <c r="E1404" s="677"/>
      <c r="F1404" s="677"/>
      <c r="G1404" s="677"/>
      <c r="H1404" s="897"/>
      <c r="I1404" s="898"/>
      <c r="J1404" s="898"/>
      <c r="K1404" s="899"/>
      <c r="L1404" s="899"/>
      <c r="M1404" s="899"/>
      <c r="N1404" s="899"/>
      <c r="O1404" s="899"/>
      <c r="P1404" s="899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896"/>
      <c r="E1405" s="677"/>
      <c r="F1405" s="677"/>
      <c r="G1405" s="677"/>
      <c r="H1405" s="897"/>
      <c r="I1405" s="898"/>
      <c r="J1405" s="898"/>
      <c r="K1405" s="899"/>
      <c r="L1405" s="899"/>
      <c r="M1405" s="899"/>
      <c r="N1405" s="899"/>
      <c r="O1405" s="899"/>
      <c r="P1405" s="899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896"/>
      <c r="E1406" s="677"/>
      <c r="F1406" s="677"/>
      <c r="G1406" s="677"/>
      <c r="H1406" s="897"/>
      <c r="I1406" s="898"/>
      <c r="J1406" s="898"/>
      <c r="K1406" s="899"/>
      <c r="L1406" s="899"/>
      <c r="M1406" s="899"/>
      <c r="N1406" s="899"/>
      <c r="O1406" s="899"/>
      <c r="P1406" s="899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896"/>
      <c r="E1407" s="677"/>
      <c r="F1407" s="677"/>
      <c r="G1407" s="677"/>
      <c r="H1407" s="897"/>
      <c r="I1407" s="898"/>
      <c r="J1407" s="898"/>
      <c r="K1407" s="899"/>
      <c r="L1407" s="899"/>
      <c r="M1407" s="899"/>
      <c r="N1407" s="899"/>
      <c r="O1407" s="899"/>
      <c r="P1407" s="899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896"/>
      <c r="E1408" s="677"/>
      <c r="F1408" s="677"/>
      <c r="G1408" s="677"/>
      <c r="H1408" s="897"/>
      <c r="I1408" s="898"/>
      <c r="J1408" s="898"/>
      <c r="K1408" s="899"/>
      <c r="L1408" s="899"/>
      <c r="M1408" s="899"/>
      <c r="N1408" s="899"/>
      <c r="O1408" s="899"/>
      <c r="P1408" s="899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896"/>
      <c r="E1409" s="677"/>
      <c r="F1409" s="677"/>
      <c r="G1409" s="677"/>
      <c r="H1409" s="897"/>
      <c r="I1409" s="898"/>
      <c r="J1409" s="898"/>
      <c r="K1409" s="899"/>
      <c r="L1409" s="899"/>
      <c r="M1409" s="899"/>
      <c r="N1409" s="899"/>
      <c r="O1409" s="899"/>
      <c r="P1409" s="899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896"/>
      <c r="E1410" s="677"/>
      <c r="F1410" s="677"/>
      <c r="G1410" s="677"/>
      <c r="H1410" s="897"/>
      <c r="I1410" s="898"/>
      <c r="J1410" s="898"/>
      <c r="K1410" s="899"/>
      <c r="L1410" s="899"/>
      <c r="M1410" s="899"/>
      <c r="N1410" s="899"/>
      <c r="O1410" s="899"/>
      <c r="P1410" s="899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896"/>
      <c r="E1411" s="677"/>
      <c r="F1411" s="677"/>
      <c r="G1411" s="677"/>
      <c r="H1411" s="897"/>
      <c r="I1411" s="898"/>
      <c r="J1411" s="898"/>
      <c r="K1411" s="899"/>
      <c r="L1411" s="899"/>
      <c r="M1411" s="899"/>
      <c r="N1411" s="899"/>
      <c r="O1411" s="899"/>
      <c r="P1411" s="899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896"/>
      <c r="E1412" s="677"/>
      <c r="F1412" s="677"/>
      <c r="G1412" s="677"/>
      <c r="H1412" s="897"/>
      <c r="I1412" s="898"/>
      <c r="J1412" s="898"/>
      <c r="K1412" s="899"/>
      <c r="L1412" s="899"/>
      <c r="M1412" s="899"/>
      <c r="N1412" s="899"/>
      <c r="O1412" s="899"/>
      <c r="P1412" s="899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896"/>
      <c r="E1413" s="677"/>
      <c r="F1413" s="677"/>
      <c r="G1413" s="677"/>
      <c r="H1413" s="897"/>
      <c r="I1413" s="898"/>
      <c r="J1413" s="898"/>
      <c r="K1413" s="899"/>
      <c r="L1413" s="899"/>
      <c r="M1413" s="899"/>
      <c r="N1413" s="899"/>
      <c r="O1413" s="899"/>
      <c r="P1413" s="899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896"/>
      <c r="E1414" s="677"/>
      <c r="F1414" s="677"/>
      <c r="G1414" s="677"/>
      <c r="H1414" s="897"/>
      <c r="I1414" s="898"/>
      <c r="J1414" s="898"/>
      <c r="K1414" s="899"/>
      <c r="L1414" s="899"/>
      <c r="M1414" s="899"/>
      <c r="N1414" s="899"/>
      <c r="O1414" s="899"/>
      <c r="P1414" s="899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896"/>
      <c r="E1415" s="677"/>
      <c r="F1415" s="677"/>
      <c r="G1415" s="677"/>
      <c r="H1415" s="897"/>
      <c r="I1415" s="898"/>
      <c r="J1415" s="898"/>
      <c r="K1415" s="899"/>
      <c r="L1415" s="899"/>
      <c r="M1415" s="899"/>
      <c r="N1415" s="899"/>
      <c r="O1415" s="899"/>
      <c r="P1415" s="899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896"/>
      <c r="E1416" s="677"/>
      <c r="F1416" s="677"/>
      <c r="G1416" s="677"/>
      <c r="H1416" s="897"/>
      <c r="I1416" s="898"/>
      <c r="J1416" s="898"/>
      <c r="K1416" s="899"/>
      <c r="L1416" s="899"/>
      <c r="M1416" s="899"/>
      <c r="N1416" s="899"/>
      <c r="O1416" s="899"/>
      <c r="P1416" s="899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896"/>
      <c r="E1417" s="677"/>
      <c r="F1417" s="677"/>
      <c r="G1417" s="677"/>
      <c r="H1417" s="897"/>
      <c r="I1417" s="898"/>
      <c r="J1417" s="898"/>
      <c r="K1417" s="899"/>
      <c r="L1417" s="899"/>
      <c r="M1417" s="899"/>
      <c r="N1417" s="899"/>
      <c r="O1417" s="899"/>
      <c r="P1417" s="899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896"/>
      <c r="E1418" s="677"/>
      <c r="F1418" s="677"/>
      <c r="G1418" s="677"/>
      <c r="H1418" s="897"/>
      <c r="I1418" s="898"/>
      <c r="J1418" s="898"/>
      <c r="K1418" s="899"/>
      <c r="L1418" s="899"/>
      <c r="M1418" s="899"/>
      <c r="N1418" s="899"/>
      <c r="O1418" s="899"/>
      <c r="P1418" s="899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896"/>
      <c r="E1419" s="677"/>
      <c r="F1419" s="677"/>
      <c r="G1419" s="677"/>
      <c r="H1419" s="897"/>
      <c r="I1419" s="898"/>
      <c r="J1419" s="898"/>
      <c r="K1419" s="899"/>
      <c r="L1419" s="899"/>
      <c r="M1419" s="899"/>
      <c r="N1419" s="899"/>
      <c r="O1419" s="899"/>
      <c r="P1419" s="899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896"/>
      <c r="E1420" s="677"/>
      <c r="F1420" s="677"/>
      <c r="G1420" s="677"/>
      <c r="H1420" s="897"/>
      <c r="I1420" s="898"/>
      <c r="J1420" s="898"/>
      <c r="K1420" s="899"/>
      <c r="L1420" s="899"/>
      <c r="M1420" s="899"/>
      <c r="N1420" s="899"/>
      <c r="O1420" s="899"/>
      <c r="P1420" s="899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896"/>
      <c r="E1421" s="677"/>
      <c r="F1421" s="677"/>
      <c r="G1421" s="677"/>
      <c r="H1421" s="897"/>
      <c r="I1421" s="898"/>
      <c r="J1421" s="898"/>
      <c r="K1421" s="899"/>
      <c r="L1421" s="899"/>
      <c r="M1421" s="899"/>
      <c r="N1421" s="899"/>
      <c r="O1421" s="899"/>
      <c r="P1421" s="899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896"/>
      <c r="E1422" s="677"/>
      <c r="F1422" s="677"/>
      <c r="G1422" s="677"/>
      <c r="H1422" s="897"/>
      <c r="I1422" s="898"/>
      <c r="J1422" s="898"/>
      <c r="K1422" s="899"/>
      <c r="L1422" s="899"/>
      <c r="M1422" s="899"/>
      <c r="N1422" s="899"/>
      <c r="O1422" s="899"/>
      <c r="P1422" s="899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896"/>
      <c r="E1423" s="677"/>
      <c r="F1423" s="677"/>
      <c r="G1423" s="677"/>
      <c r="H1423" s="897"/>
      <c r="I1423" s="898"/>
      <c r="J1423" s="898"/>
      <c r="K1423" s="899"/>
      <c r="L1423" s="899"/>
      <c r="M1423" s="899"/>
      <c r="N1423" s="899"/>
      <c r="O1423" s="899"/>
      <c r="P1423" s="899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896"/>
      <c r="E1424" s="677"/>
      <c r="F1424" s="677"/>
      <c r="G1424" s="677"/>
      <c r="H1424" s="897"/>
      <c r="I1424" s="898"/>
      <c r="J1424" s="898"/>
      <c r="K1424" s="899"/>
      <c r="L1424" s="899"/>
      <c r="M1424" s="899"/>
      <c r="N1424" s="899"/>
      <c r="O1424" s="899"/>
      <c r="P1424" s="899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896"/>
      <c r="E1425" s="677"/>
      <c r="F1425" s="677"/>
      <c r="G1425" s="677"/>
      <c r="H1425" s="897"/>
      <c r="I1425" s="898"/>
      <c r="J1425" s="898"/>
      <c r="K1425" s="899"/>
      <c r="L1425" s="899"/>
      <c r="M1425" s="899"/>
      <c r="N1425" s="899"/>
      <c r="O1425" s="899"/>
      <c r="P1425" s="899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896"/>
      <c r="E1426" s="677"/>
      <c r="F1426" s="677"/>
      <c r="G1426" s="677"/>
      <c r="H1426" s="897"/>
      <c r="I1426" s="898"/>
      <c r="J1426" s="898"/>
      <c r="K1426" s="899"/>
      <c r="L1426" s="899"/>
      <c r="M1426" s="899"/>
      <c r="N1426" s="899"/>
      <c r="O1426" s="899"/>
      <c r="P1426" s="899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896"/>
      <c r="E1427" s="677"/>
      <c r="F1427" s="677"/>
      <c r="G1427" s="677"/>
      <c r="H1427" s="897"/>
      <c r="I1427" s="898"/>
      <c r="J1427" s="898"/>
      <c r="K1427" s="899"/>
      <c r="L1427" s="899"/>
      <c r="M1427" s="899"/>
      <c r="N1427" s="899"/>
      <c r="O1427" s="899"/>
      <c r="P1427" s="899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896"/>
      <c r="E1428" s="677"/>
      <c r="F1428" s="677"/>
      <c r="G1428" s="677"/>
      <c r="H1428" s="897"/>
      <c r="I1428" s="898"/>
      <c r="J1428" s="898"/>
      <c r="K1428" s="899"/>
      <c r="L1428" s="899"/>
      <c r="M1428" s="899"/>
      <c r="N1428" s="899"/>
      <c r="O1428" s="899"/>
      <c r="P1428" s="899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896"/>
      <c r="E1429" s="677"/>
      <c r="F1429" s="677"/>
      <c r="G1429" s="677"/>
      <c r="H1429" s="897"/>
      <c r="I1429" s="898"/>
      <c r="J1429" s="898"/>
      <c r="K1429" s="899"/>
      <c r="L1429" s="899"/>
      <c r="M1429" s="899"/>
      <c r="N1429" s="899"/>
      <c r="O1429" s="899"/>
      <c r="P1429" s="899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896"/>
      <c r="E1430" s="677"/>
      <c r="F1430" s="677"/>
      <c r="G1430" s="677"/>
      <c r="H1430" s="897"/>
      <c r="I1430" s="898"/>
      <c r="J1430" s="898"/>
      <c r="K1430" s="899"/>
      <c r="L1430" s="899"/>
      <c r="M1430" s="899"/>
      <c r="N1430" s="899"/>
      <c r="O1430" s="899"/>
      <c r="P1430" s="899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896"/>
      <c r="E1431" s="677"/>
      <c r="F1431" s="677"/>
      <c r="G1431" s="677"/>
      <c r="H1431" s="897"/>
      <c r="I1431" s="898"/>
      <c r="J1431" s="898"/>
      <c r="K1431" s="899"/>
      <c r="L1431" s="899"/>
      <c r="M1431" s="899"/>
      <c r="N1431" s="899"/>
      <c r="O1431" s="899"/>
      <c r="P1431" s="899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896"/>
      <c r="E1432" s="677"/>
      <c r="F1432" s="677"/>
      <c r="G1432" s="677"/>
      <c r="H1432" s="897"/>
      <c r="I1432" s="898"/>
      <c r="J1432" s="898"/>
      <c r="K1432" s="899"/>
      <c r="L1432" s="899"/>
      <c r="M1432" s="899"/>
      <c r="N1432" s="899"/>
      <c r="O1432" s="899"/>
      <c r="P1432" s="899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896"/>
      <c r="E1433" s="677"/>
      <c r="F1433" s="677"/>
      <c r="G1433" s="677"/>
      <c r="H1433" s="897"/>
      <c r="I1433" s="898"/>
      <c r="J1433" s="898"/>
      <c r="K1433" s="899"/>
      <c r="L1433" s="899"/>
      <c r="M1433" s="899"/>
      <c r="N1433" s="899"/>
      <c r="O1433" s="899"/>
      <c r="P1433" s="899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896"/>
      <c r="E1434" s="677"/>
      <c r="F1434" s="677"/>
      <c r="G1434" s="677"/>
      <c r="H1434" s="897"/>
      <c r="I1434" s="898"/>
      <c r="J1434" s="898"/>
      <c r="K1434" s="899"/>
      <c r="L1434" s="899"/>
      <c r="M1434" s="899"/>
      <c r="N1434" s="899"/>
      <c r="O1434" s="899"/>
      <c r="P1434" s="899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896"/>
      <c r="E1435" s="677"/>
      <c r="F1435" s="677"/>
      <c r="G1435" s="677"/>
      <c r="H1435" s="897"/>
      <c r="I1435" s="898"/>
      <c r="J1435" s="898"/>
      <c r="K1435" s="899"/>
      <c r="L1435" s="899"/>
      <c r="M1435" s="899"/>
      <c r="N1435" s="899"/>
      <c r="O1435" s="899"/>
      <c r="P1435" s="899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896"/>
      <c r="E1436" s="677"/>
      <c r="F1436" s="677"/>
      <c r="G1436" s="677"/>
      <c r="H1436" s="897"/>
      <c r="I1436" s="898"/>
      <c r="J1436" s="898"/>
      <c r="K1436" s="899"/>
      <c r="L1436" s="899"/>
      <c r="M1436" s="899"/>
      <c r="N1436" s="899"/>
      <c r="O1436" s="899"/>
      <c r="P1436" s="899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896"/>
      <c r="E1437" s="677"/>
      <c r="F1437" s="677"/>
      <c r="G1437" s="677"/>
      <c r="H1437" s="897"/>
      <c r="I1437" s="898"/>
      <c r="J1437" s="898"/>
      <c r="K1437" s="899"/>
      <c r="L1437" s="899"/>
      <c r="M1437" s="899"/>
      <c r="N1437" s="899"/>
      <c r="O1437" s="899"/>
      <c r="P1437" s="899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896"/>
      <c r="E1438" s="677"/>
      <c r="F1438" s="677"/>
      <c r="G1438" s="677"/>
      <c r="H1438" s="897"/>
      <c r="I1438" s="898"/>
      <c r="J1438" s="898"/>
      <c r="K1438" s="899"/>
      <c r="L1438" s="899"/>
      <c r="M1438" s="899"/>
      <c r="N1438" s="899"/>
      <c r="O1438" s="899"/>
      <c r="P1438" s="899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896"/>
      <c r="E1439" s="677"/>
      <c r="F1439" s="677"/>
      <c r="G1439" s="677"/>
      <c r="H1439" s="897"/>
      <c r="I1439" s="898"/>
      <c r="J1439" s="898"/>
      <c r="K1439" s="899"/>
      <c r="L1439" s="899"/>
      <c r="M1439" s="899"/>
      <c r="N1439" s="899"/>
      <c r="O1439" s="899"/>
      <c r="P1439" s="899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896"/>
      <c r="E1440" s="677"/>
      <c r="F1440" s="677"/>
      <c r="G1440" s="677"/>
      <c r="H1440" s="897"/>
      <c r="I1440" s="898"/>
      <c r="J1440" s="898"/>
      <c r="K1440" s="899"/>
      <c r="L1440" s="899"/>
      <c r="M1440" s="899"/>
      <c r="N1440" s="899"/>
      <c r="O1440" s="899"/>
      <c r="P1440" s="899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896"/>
      <c r="E1441" s="677"/>
      <c r="F1441" s="677"/>
      <c r="G1441" s="677"/>
      <c r="H1441" s="897"/>
      <c r="I1441" s="898"/>
      <c r="J1441" s="898"/>
      <c r="K1441" s="899"/>
      <c r="L1441" s="899"/>
      <c r="M1441" s="899"/>
      <c r="N1441" s="899"/>
      <c r="O1441" s="899"/>
      <c r="P1441" s="899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896"/>
      <c r="E1442" s="677"/>
      <c r="F1442" s="677"/>
      <c r="G1442" s="677"/>
      <c r="H1442" s="897"/>
      <c r="I1442" s="898"/>
      <c r="J1442" s="898"/>
      <c r="K1442" s="899"/>
      <c r="L1442" s="899"/>
      <c r="M1442" s="899"/>
      <c r="N1442" s="899"/>
      <c r="O1442" s="899"/>
      <c r="P1442" s="899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896"/>
      <c r="E1443" s="677"/>
      <c r="F1443" s="677"/>
      <c r="G1443" s="677"/>
      <c r="H1443" s="897"/>
      <c r="I1443" s="898"/>
      <c r="J1443" s="898"/>
      <c r="K1443" s="899"/>
      <c r="L1443" s="899"/>
      <c r="M1443" s="899"/>
      <c r="N1443" s="899"/>
      <c r="O1443" s="899"/>
      <c r="P1443" s="899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896"/>
      <c r="E1444" s="677"/>
      <c r="F1444" s="677"/>
      <c r="G1444" s="677"/>
      <c r="H1444" s="897"/>
      <c r="I1444" s="898"/>
      <c r="J1444" s="898"/>
      <c r="K1444" s="899"/>
      <c r="L1444" s="899"/>
      <c r="M1444" s="899"/>
      <c r="N1444" s="899"/>
      <c r="O1444" s="899"/>
      <c r="P1444" s="899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896"/>
      <c r="E1445" s="677"/>
      <c r="F1445" s="677"/>
      <c r="G1445" s="677"/>
      <c r="H1445" s="897"/>
      <c r="I1445" s="898"/>
      <c r="J1445" s="898"/>
      <c r="K1445" s="899"/>
      <c r="L1445" s="899"/>
      <c r="M1445" s="899"/>
      <c r="N1445" s="899"/>
      <c r="O1445" s="899"/>
      <c r="P1445" s="899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896"/>
      <c r="E1446" s="677"/>
      <c r="F1446" s="677"/>
      <c r="G1446" s="677"/>
      <c r="H1446" s="897"/>
      <c r="I1446" s="898"/>
      <c r="J1446" s="898"/>
      <c r="K1446" s="899"/>
      <c r="L1446" s="899"/>
      <c r="M1446" s="899"/>
      <c r="N1446" s="899"/>
      <c r="O1446" s="899"/>
      <c r="P1446" s="899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896"/>
      <c r="E1447" s="677"/>
      <c r="F1447" s="677"/>
      <c r="G1447" s="677"/>
      <c r="H1447" s="897"/>
      <c r="I1447" s="898"/>
      <c r="J1447" s="898"/>
      <c r="K1447" s="899"/>
      <c r="L1447" s="899"/>
      <c r="M1447" s="899"/>
      <c r="N1447" s="899"/>
      <c r="O1447" s="899"/>
      <c r="P1447" s="899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896"/>
      <c r="E1448" s="677"/>
      <c r="F1448" s="677"/>
      <c r="G1448" s="677"/>
      <c r="H1448" s="897"/>
      <c r="I1448" s="898"/>
      <c r="J1448" s="898"/>
      <c r="K1448" s="899"/>
      <c r="L1448" s="899"/>
      <c r="M1448" s="899"/>
      <c r="N1448" s="899"/>
      <c r="O1448" s="899"/>
      <c r="P1448" s="899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896"/>
      <c r="E1449" s="677"/>
      <c r="F1449" s="677"/>
      <c r="G1449" s="677"/>
      <c r="H1449" s="897"/>
      <c r="I1449" s="898"/>
      <c r="J1449" s="898"/>
      <c r="K1449" s="899"/>
      <c r="L1449" s="899"/>
      <c r="M1449" s="899"/>
      <c r="N1449" s="899"/>
      <c r="O1449" s="899"/>
      <c r="P1449" s="899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896"/>
      <c r="E1450" s="677"/>
      <c r="F1450" s="677"/>
      <c r="G1450" s="677"/>
      <c r="H1450" s="897"/>
      <c r="I1450" s="898"/>
      <c r="J1450" s="898"/>
      <c r="K1450" s="899"/>
      <c r="L1450" s="899"/>
      <c r="M1450" s="899"/>
      <c r="N1450" s="899"/>
      <c r="O1450" s="899"/>
      <c r="P1450" s="899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896"/>
      <c r="E1451" s="677"/>
      <c r="F1451" s="677"/>
      <c r="G1451" s="677"/>
      <c r="H1451" s="897"/>
      <c r="I1451" s="898"/>
      <c r="J1451" s="898"/>
      <c r="K1451" s="899"/>
      <c r="L1451" s="899"/>
      <c r="M1451" s="899"/>
      <c r="N1451" s="899"/>
      <c r="O1451" s="899"/>
      <c r="P1451" s="899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896"/>
      <c r="E1452" s="677"/>
      <c r="F1452" s="677"/>
      <c r="G1452" s="677"/>
      <c r="H1452" s="897"/>
      <c r="I1452" s="898"/>
      <c r="J1452" s="898"/>
      <c r="K1452" s="899"/>
      <c r="L1452" s="899"/>
      <c r="M1452" s="899"/>
      <c r="N1452" s="899"/>
      <c r="O1452" s="899"/>
      <c r="P1452" s="899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896"/>
      <c r="E1453" s="677"/>
      <c r="F1453" s="677"/>
      <c r="G1453" s="677"/>
      <c r="H1453" s="897"/>
      <c r="I1453" s="898"/>
      <c r="J1453" s="898"/>
      <c r="K1453" s="899"/>
      <c r="L1453" s="899"/>
      <c r="M1453" s="899"/>
      <c r="N1453" s="899"/>
      <c r="O1453" s="899"/>
      <c r="P1453" s="899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896"/>
      <c r="E1454" s="677"/>
      <c r="F1454" s="677"/>
      <c r="G1454" s="677"/>
      <c r="H1454" s="897"/>
      <c r="I1454" s="898"/>
      <c r="J1454" s="898"/>
      <c r="K1454" s="899"/>
      <c r="L1454" s="899"/>
      <c r="M1454" s="899"/>
      <c r="N1454" s="899"/>
      <c r="O1454" s="899"/>
      <c r="P1454" s="899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896"/>
      <c r="E1455" s="677"/>
      <c r="F1455" s="677"/>
      <c r="G1455" s="677"/>
      <c r="H1455" s="897"/>
      <c r="I1455" s="898"/>
      <c r="J1455" s="898"/>
      <c r="K1455" s="899"/>
      <c r="L1455" s="899"/>
      <c r="M1455" s="899"/>
      <c r="N1455" s="899"/>
      <c r="O1455" s="899"/>
      <c r="P1455" s="899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896"/>
      <c r="E1456" s="677"/>
      <c r="F1456" s="677"/>
      <c r="G1456" s="677"/>
      <c r="H1456" s="897"/>
      <c r="I1456" s="898"/>
      <c r="J1456" s="898"/>
      <c r="K1456" s="899"/>
      <c r="L1456" s="899"/>
      <c r="M1456" s="899"/>
      <c r="N1456" s="899"/>
      <c r="O1456" s="899"/>
      <c r="P1456" s="899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896"/>
      <c r="E1457" s="677"/>
      <c r="F1457" s="677"/>
      <c r="G1457" s="677"/>
      <c r="H1457" s="897"/>
      <c r="I1457" s="898"/>
      <c r="J1457" s="898"/>
      <c r="K1457" s="899"/>
      <c r="L1457" s="899"/>
      <c r="M1457" s="899"/>
      <c r="N1457" s="899"/>
      <c r="O1457" s="899"/>
      <c r="P1457" s="899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896"/>
      <c r="E1458" s="677"/>
      <c r="F1458" s="677"/>
      <c r="G1458" s="677"/>
      <c r="H1458" s="897"/>
      <c r="I1458" s="898"/>
      <c r="J1458" s="898"/>
      <c r="K1458" s="899"/>
      <c r="L1458" s="899"/>
      <c r="M1458" s="899"/>
      <c r="N1458" s="899"/>
      <c r="O1458" s="899"/>
      <c r="P1458" s="899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896"/>
      <c r="E1459" s="677"/>
      <c r="F1459" s="677"/>
      <c r="G1459" s="677"/>
      <c r="H1459" s="897"/>
      <c r="I1459" s="898"/>
      <c r="J1459" s="898"/>
      <c r="K1459" s="899"/>
      <c r="L1459" s="899"/>
      <c r="M1459" s="899"/>
      <c r="N1459" s="899"/>
      <c r="O1459" s="899"/>
      <c r="P1459" s="899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896"/>
      <c r="E1460" s="677"/>
      <c r="F1460" s="677"/>
      <c r="G1460" s="677"/>
      <c r="H1460" s="897"/>
      <c r="I1460" s="898"/>
      <c r="J1460" s="898"/>
      <c r="K1460" s="899"/>
      <c r="L1460" s="899"/>
      <c r="M1460" s="899"/>
      <c r="N1460" s="899"/>
      <c r="O1460" s="899"/>
      <c r="P1460" s="899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896"/>
      <c r="E1461" s="677"/>
      <c r="F1461" s="677"/>
      <c r="G1461" s="677"/>
      <c r="H1461" s="897"/>
      <c r="I1461" s="898"/>
      <c r="J1461" s="898"/>
      <c r="K1461" s="899"/>
      <c r="L1461" s="899"/>
      <c r="M1461" s="899"/>
      <c r="N1461" s="899"/>
      <c r="O1461" s="899"/>
      <c r="P1461" s="899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896"/>
      <c r="E1462" s="677"/>
      <c r="F1462" s="677"/>
      <c r="G1462" s="677"/>
      <c r="H1462" s="897"/>
      <c r="I1462" s="898"/>
      <c r="J1462" s="898"/>
      <c r="K1462" s="899"/>
      <c r="L1462" s="899"/>
      <c r="M1462" s="899"/>
      <c r="N1462" s="899"/>
      <c r="O1462" s="899"/>
      <c r="P1462" s="899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896"/>
      <c r="E1463" s="677"/>
      <c r="F1463" s="677"/>
      <c r="G1463" s="677"/>
      <c r="H1463" s="897"/>
      <c r="I1463" s="898"/>
      <c r="J1463" s="898"/>
      <c r="K1463" s="899"/>
      <c r="L1463" s="899"/>
      <c r="M1463" s="899"/>
      <c r="N1463" s="899"/>
      <c r="O1463" s="899"/>
      <c r="P1463" s="899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896"/>
      <c r="E1464" s="677"/>
      <c r="F1464" s="677"/>
      <c r="G1464" s="677"/>
      <c r="H1464" s="897"/>
      <c r="I1464" s="898"/>
      <c r="J1464" s="898"/>
      <c r="K1464" s="899"/>
      <c r="L1464" s="899"/>
      <c r="M1464" s="899"/>
      <c r="N1464" s="899"/>
      <c r="O1464" s="899"/>
      <c r="P1464" s="899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896"/>
      <c r="E1465" s="677"/>
      <c r="F1465" s="677"/>
      <c r="G1465" s="677"/>
      <c r="H1465" s="897"/>
      <c r="I1465" s="898"/>
      <c r="J1465" s="898"/>
      <c r="K1465" s="899"/>
      <c r="L1465" s="899"/>
      <c r="M1465" s="899"/>
      <c r="N1465" s="899"/>
      <c r="O1465" s="899"/>
      <c r="P1465" s="899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896"/>
      <c r="E1466" s="677"/>
      <c r="F1466" s="677"/>
      <c r="G1466" s="677"/>
      <c r="H1466" s="897"/>
      <c r="I1466" s="898"/>
      <c r="J1466" s="898"/>
      <c r="K1466" s="899"/>
      <c r="L1466" s="899"/>
      <c r="M1466" s="899"/>
      <c r="N1466" s="899"/>
      <c r="O1466" s="899"/>
      <c r="P1466" s="899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896"/>
      <c r="E1467" s="677"/>
      <c r="F1467" s="677"/>
      <c r="G1467" s="677"/>
      <c r="H1467" s="897"/>
      <c r="I1467" s="898"/>
      <c r="J1467" s="898"/>
      <c r="K1467" s="899"/>
      <c r="L1467" s="899"/>
      <c r="M1467" s="899"/>
      <c r="N1467" s="899"/>
      <c r="O1467" s="899"/>
      <c r="P1467" s="899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896"/>
      <c r="E1468" s="677"/>
      <c r="F1468" s="677"/>
      <c r="G1468" s="677"/>
      <c r="H1468" s="897"/>
      <c r="I1468" s="898"/>
      <c r="J1468" s="898"/>
      <c r="K1468" s="899"/>
      <c r="L1468" s="899"/>
      <c r="M1468" s="899"/>
      <c r="N1468" s="899"/>
      <c r="O1468" s="899"/>
      <c r="P1468" s="899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896"/>
      <c r="E1469" s="677"/>
      <c r="F1469" s="677"/>
      <c r="G1469" s="677"/>
      <c r="H1469" s="897"/>
      <c r="I1469" s="898"/>
      <c r="J1469" s="898"/>
      <c r="K1469" s="899"/>
      <c r="L1469" s="899"/>
      <c r="M1469" s="899"/>
      <c r="N1469" s="899"/>
      <c r="O1469" s="899"/>
      <c r="P1469" s="899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896"/>
      <c r="E1470" s="677"/>
      <c r="F1470" s="677"/>
      <c r="G1470" s="677"/>
      <c r="H1470" s="897"/>
      <c r="I1470" s="898"/>
      <c r="J1470" s="898"/>
      <c r="K1470" s="899"/>
      <c r="L1470" s="899"/>
      <c r="M1470" s="899"/>
      <c r="N1470" s="899"/>
      <c r="O1470" s="899"/>
      <c r="P1470" s="899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896"/>
      <c r="E1471" s="677"/>
      <c r="F1471" s="677"/>
      <c r="G1471" s="677"/>
      <c r="H1471" s="897"/>
      <c r="I1471" s="898"/>
      <c r="J1471" s="898"/>
      <c r="K1471" s="899"/>
      <c r="L1471" s="899"/>
      <c r="M1471" s="899"/>
      <c r="N1471" s="899"/>
      <c r="O1471" s="899"/>
      <c r="P1471" s="899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896"/>
      <c r="E1472" s="677"/>
      <c r="F1472" s="677"/>
      <c r="G1472" s="677"/>
      <c r="H1472" s="897"/>
      <c r="I1472" s="898"/>
      <c r="J1472" s="898"/>
      <c r="K1472" s="899"/>
      <c r="L1472" s="899"/>
      <c r="M1472" s="899"/>
      <c r="N1472" s="899"/>
      <c r="O1472" s="899"/>
      <c r="P1472" s="899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896"/>
      <c r="E1473" s="677"/>
      <c r="F1473" s="677"/>
      <c r="G1473" s="677"/>
      <c r="H1473" s="897"/>
      <c r="I1473" s="898"/>
      <c r="J1473" s="898"/>
      <c r="K1473" s="899"/>
      <c r="L1473" s="899"/>
      <c r="M1473" s="899"/>
      <c r="N1473" s="899"/>
      <c r="O1473" s="899"/>
      <c r="P1473" s="899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896"/>
      <c r="E1474" s="677"/>
      <c r="F1474" s="677"/>
      <c r="G1474" s="677"/>
      <c r="H1474" s="897"/>
      <c r="I1474" s="898"/>
      <c r="J1474" s="898"/>
      <c r="K1474" s="899"/>
      <c r="L1474" s="899"/>
      <c r="M1474" s="899"/>
      <c r="N1474" s="899"/>
      <c r="O1474" s="899"/>
      <c r="P1474" s="899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896"/>
      <c r="E1475" s="677"/>
      <c r="F1475" s="677"/>
      <c r="G1475" s="677"/>
      <c r="H1475" s="897"/>
      <c r="I1475" s="898"/>
      <c r="J1475" s="898"/>
      <c r="K1475" s="899"/>
      <c r="L1475" s="899"/>
      <c r="M1475" s="899"/>
      <c r="N1475" s="899"/>
      <c r="O1475" s="899"/>
      <c r="P1475" s="899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896"/>
      <c r="E1476" s="677"/>
      <c r="F1476" s="677"/>
      <c r="G1476" s="677"/>
      <c r="H1476" s="897"/>
      <c r="I1476" s="898"/>
      <c r="J1476" s="898"/>
      <c r="K1476" s="899"/>
      <c r="L1476" s="899"/>
      <c r="M1476" s="899"/>
      <c r="N1476" s="899"/>
      <c r="O1476" s="899"/>
      <c r="P1476" s="899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896"/>
      <c r="E1477" s="677"/>
      <c r="F1477" s="677"/>
      <c r="G1477" s="677"/>
      <c r="H1477" s="897"/>
      <c r="I1477" s="898"/>
      <c r="J1477" s="898"/>
      <c r="K1477" s="899"/>
      <c r="L1477" s="899"/>
      <c r="M1477" s="899"/>
      <c r="N1477" s="899"/>
      <c r="O1477" s="899"/>
      <c r="P1477" s="899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896"/>
      <c r="E1478" s="677"/>
      <c r="F1478" s="677"/>
      <c r="G1478" s="677"/>
      <c r="H1478" s="897"/>
      <c r="I1478" s="898"/>
      <c r="J1478" s="898"/>
      <c r="K1478" s="899"/>
      <c r="L1478" s="899"/>
      <c r="M1478" s="899"/>
      <c r="N1478" s="899"/>
      <c r="O1478" s="899"/>
      <c r="P1478" s="899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896"/>
      <c r="E1479" s="677"/>
      <c r="F1479" s="677"/>
      <c r="G1479" s="677"/>
      <c r="H1479" s="897"/>
      <c r="I1479" s="898"/>
      <c r="J1479" s="898"/>
      <c r="K1479" s="899"/>
      <c r="L1479" s="899"/>
      <c r="M1479" s="899"/>
      <c r="N1479" s="899"/>
      <c r="O1479" s="899"/>
      <c r="P1479" s="899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896"/>
      <c r="E1480" s="677"/>
      <c r="F1480" s="677"/>
      <c r="G1480" s="677"/>
      <c r="H1480" s="897"/>
      <c r="I1480" s="898"/>
      <c r="J1480" s="898"/>
      <c r="K1480" s="899"/>
      <c r="L1480" s="899"/>
      <c r="M1480" s="899"/>
      <c r="N1480" s="899"/>
      <c r="O1480" s="899"/>
      <c r="P1480" s="899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896"/>
      <c r="E1481" s="677"/>
      <c r="F1481" s="677"/>
      <c r="G1481" s="677"/>
      <c r="H1481" s="897"/>
      <c r="I1481" s="898"/>
      <c r="J1481" s="898"/>
      <c r="K1481" s="899"/>
      <c r="L1481" s="899"/>
      <c r="M1481" s="899"/>
      <c r="N1481" s="899"/>
      <c r="O1481" s="899"/>
      <c r="P1481" s="899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896"/>
      <c r="E1482" s="677"/>
      <c r="F1482" s="677"/>
      <c r="G1482" s="677"/>
      <c r="H1482" s="897"/>
      <c r="I1482" s="898"/>
      <c r="J1482" s="898"/>
      <c r="K1482" s="899"/>
      <c r="L1482" s="899"/>
      <c r="M1482" s="899"/>
      <c r="N1482" s="899"/>
      <c r="O1482" s="899"/>
      <c r="P1482" s="899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896"/>
      <c r="E1483" s="677"/>
      <c r="F1483" s="677"/>
      <c r="G1483" s="677"/>
      <c r="H1483" s="897"/>
      <c r="I1483" s="898"/>
      <c r="J1483" s="898"/>
      <c r="K1483" s="899"/>
      <c r="L1483" s="899"/>
      <c r="M1483" s="899"/>
      <c r="N1483" s="899"/>
      <c r="O1483" s="899"/>
      <c r="P1483" s="899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896"/>
      <c r="E1484" s="677"/>
      <c r="F1484" s="677"/>
      <c r="G1484" s="677"/>
      <c r="H1484" s="897"/>
      <c r="I1484" s="898"/>
      <c r="J1484" s="898"/>
      <c r="K1484" s="899"/>
      <c r="L1484" s="899"/>
      <c r="M1484" s="899"/>
      <c r="N1484" s="899"/>
      <c r="O1484" s="899"/>
      <c r="P1484" s="899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896"/>
      <c r="E1485" s="677"/>
      <c r="F1485" s="677"/>
      <c r="G1485" s="677"/>
      <c r="H1485" s="897"/>
      <c r="I1485" s="898"/>
      <c r="J1485" s="898"/>
      <c r="K1485" s="899"/>
      <c r="L1485" s="899"/>
      <c r="M1485" s="899"/>
      <c r="N1485" s="899"/>
      <c r="O1485" s="899"/>
      <c r="P1485" s="899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896"/>
      <c r="E1486" s="677"/>
      <c r="F1486" s="677"/>
      <c r="G1486" s="677"/>
      <c r="H1486" s="897"/>
      <c r="I1486" s="898"/>
      <c r="J1486" s="898"/>
      <c r="K1486" s="899"/>
      <c r="L1486" s="899"/>
      <c r="M1486" s="899"/>
      <c r="N1486" s="899"/>
      <c r="O1486" s="899"/>
      <c r="P1486" s="899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896"/>
      <c r="E1487" s="677"/>
      <c r="F1487" s="677"/>
      <c r="G1487" s="677"/>
      <c r="H1487" s="897"/>
      <c r="I1487" s="898"/>
      <c r="J1487" s="898"/>
      <c r="K1487" s="899"/>
      <c r="L1487" s="899"/>
      <c r="M1487" s="899"/>
      <c r="N1487" s="899"/>
      <c r="O1487" s="899"/>
      <c r="P1487" s="899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896"/>
      <c r="E1488" s="677"/>
      <c r="F1488" s="677"/>
      <c r="G1488" s="677"/>
      <c r="H1488" s="897"/>
      <c r="I1488" s="898"/>
      <c r="J1488" s="898"/>
      <c r="K1488" s="899"/>
      <c r="L1488" s="899"/>
      <c r="M1488" s="899"/>
      <c r="N1488" s="899"/>
      <c r="O1488" s="899"/>
      <c r="P1488" s="899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896"/>
      <c r="E1489" s="677"/>
      <c r="F1489" s="677"/>
      <c r="G1489" s="677"/>
      <c r="H1489" s="897"/>
      <c r="I1489" s="898"/>
      <c r="J1489" s="898"/>
      <c r="K1489" s="899"/>
      <c r="L1489" s="899"/>
      <c r="M1489" s="899"/>
      <c r="N1489" s="899"/>
      <c r="O1489" s="899"/>
      <c r="P1489" s="899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896"/>
      <c r="E1490" s="677"/>
      <c r="F1490" s="677"/>
      <c r="G1490" s="677"/>
      <c r="H1490" s="897"/>
      <c r="I1490" s="898"/>
      <c r="J1490" s="898"/>
      <c r="K1490" s="899"/>
      <c r="L1490" s="899"/>
      <c r="M1490" s="899"/>
      <c r="N1490" s="899"/>
      <c r="O1490" s="899"/>
      <c r="P1490" s="899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896"/>
      <c r="E1491" s="677"/>
      <c r="F1491" s="677"/>
      <c r="G1491" s="677"/>
      <c r="H1491" s="897"/>
      <c r="I1491" s="898"/>
      <c r="J1491" s="898"/>
      <c r="K1491" s="899"/>
      <c r="L1491" s="899"/>
      <c r="M1491" s="899"/>
      <c r="N1491" s="899"/>
      <c r="O1491" s="899"/>
      <c r="P1491" s="899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896"/>
      <c r="E1492" s="677"/>
      <c r="F1492" s="677"/>
      <c r="G1492" s="677"/>
      <c r="H1492" s="897"/>
      <c r="I1492" s="898"/>
      <c r="J1492" s="898"/>
      <c r="K1492" s="899"/>
      <c r="L1492" s="899"/>
      <c r="M1492" s="899"/>
      <c r="N1492" s="899"/>
      <c r="O1492" s="899"/>
      <c r="P1492" s="899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896"/>
      <c r="E1493" s="677"/>
      <c r="F1493" s="677"/>
      <c r="G1493" s="677"/>
      <c r="H1493" s="897"/>
      <c r="I1493" s="898"/>
      <c r="J1493" s="898"/>
      <c r="K1493" s="899"/>
      <c r="L1493" s="899"/>
      <c r="M1493" s="899"/>
      <c r="N1493" s="899"/>
      <c r="O1493" s="899"/>
      <c r="P1493" s="899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896"/>
      <c r="E1494" s="677"/>
      <c r="F1494" s="677"/>
      <c r="G1494" s="677"/>
      <c r="H1494" s="897"/>
      <c r="I1494" s="898"/>
      <c r="J1494" s="898"/>
      <c r="K1494" s="899"/>
      <c r="L1494" s="899"/>
      <c r="M1494" s="899"/>
      <c r="N1494" s="899"/>
      <c r="O1494" s="899"/>
      <c r="P1494" s="899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896"/>
      <c r="E1495" s="677"/>
      <c r="F1495" s="677"/>
      <c r="G1495" s="677"/>
      <c r="H1495" s="897"/>
      <c r="I1495" s="898"/>
      <c r="J1495" s="898"/>
      <c r="K1495" s="899"/>
      <c r="L1495" s="899"/>
      <c r="M1495" s="899"/>
      <c r="N1495" s="899"/>
      <c r="O1495" s="899"/>
      <c r="P1495" s="899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896"/>
      <c r="E1496" s="677"/>
      <c r="F1496" s="677"/>
      <c r="G1496" s="677"/>
      <c r="H1496" s="897"/>
      <c r="I1496" s="898"/>
      <c r="J1496" s="898"/>
      <c r="K1496" s="899"/>
      <c r="L1496" s="899"/>
      <c r="M1496" s="899"/>
      <c r="N1496" s="899"/>
      <c r="O1496" s="899"/>
      <c r="P1496" s="899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896"/>
      <c r="E1497" s="677"/>
      <c r="F1497" s="677"/>
      <c r="G1497" s="677"/>
      <c r="H1497" s="897"/>
      <c r="I1497" s="898"/>
      <c r="J1497" s="898"/>
      <c r="K1497" s="899"/>
      <c r="L1497" s="899"/>
      <c r="M1497" s="899"/>
      <c r="N1497" s="899"/>
      <c r="O1497" s="899"/>
      <c r="P1497" s="899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896"/>
      <c r="E1498" s="677"/>
      <c r="F1498" s="677"/>
      <c r="G1498" s="677"/>
      <c r="H1498" s="897"/>
      <c r="I1498" s="898"/>
      <c r="J1498" s="898"/>
      <c r="K1498" s="899"/>
      <c r="L1498" s="899"/>
      <c r="M1498" s="899"/>
      <c r="N1498" s="899"/>
      <c r="O1498" s="899"/>
      <c r="P1498" s="899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896"/>
      <c r="E1499" s="677"/>
      <c r="F1499" s="677"/>
      <c r="G1499" s="677"/>
      <c r="H1499" s="897"/>
      <c r="I1499" s="898"/>
      <c r="J1499" s="898"/>
      <c r="K1499" s="899"/>
      <c r="L1499" s="899"/>
      <c r="M1499" s="899"/>
      <c r="N1499" s="899"/>
      <c r="O1499" s="899"/>
      <c r="P1499" s="899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896"/>
      <c r="E1500" s="677"/>
      <c r="F1500" s="677"/>
      <c r="G1500" s="677"/>
      <c r="H1500" s="897"/>
      <c r="I1500" s="898"/>
      <c r="J1500" s="898"/>
      <c r="K1500" s="899"/>
      <c r="L1500" s="899"/>
      <c r="M1500" s="899"/>
      <c r="N1500" s="899"/>
      <c r="O1500" s="899"/>
      <c r="P1500" s="899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896"/>
      <c r="E1501" s="677"/>
      <c r="F1501" s="677"/>
      <c r="G1501" s="677"/>
      <c r="H1501" s="897"/>
      <c r="I1501" s="898"/>
      <c r="J1501" s="898"/>
      <c r="K1501" s="899"/>
      <c r="L1501" s="899"/>
      <c r="M1501" s="899"/>
      <c r="N1501" s="899"/>
      <c r="O1501" s="899"/>
      <c r="P1501" s="899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896"/>
      <c r="E1502" s="677"/>
      <c r="F1502" s="677"/>
      <c r="G1502" s="677"/>
      <c r="H1502" s="897"/>
      <c r="I1502" s="898"/>
      <c r="J1502" s="898"/>
      <c r="K1502" s="899"/>
      <c r="L1502" s="899"/>
      <c r="M1502" s="899"/>
      <c r="N1502" s="899"/>
      <c r="O1502" s="899"/>
      <c r="P1502" s="899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896"/>
      <c r="E1503" s="677"/>
      <c r="F1503" s="677"/>
      <c r="G1503" s="677"/>
      <c r="H1503" s="897"/>
      <c r="I1503" s="898"/>
      <c r="J1503" s="898"/>
      <c r="K1503" s="899"/>
      <c r="L1503" s="899"/>
      <c r="M1503" s="899"/>
      <c r="N1503" s="899"/>
      <c r="O1503" s="899"/>
      <c r="P1503" s="899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896"/>
      <c r="E1504" s="677"/>
      <c r="F1504" s="677"/>
      <c r="G1504" s="677"/>
      <c r="H1504" s="897"/>
      <c r="I1504" s="898"/>
      <c r="J1504" s="898"/>
      <c r="K1504" s="899"/>
      <c r="L1504" s="899"/>
      <c r="M1504" s="899"/>
      <c r="N1504" s="899"/>
      <c r="O1504" s="899"/>
      <c r="P1504" s="899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896"/>
      <c r="E1505" s="677"/>
      <c r="F1505" s="677"/>
      <c r="G1505" s="677"/>
      <c r="H1505" s="897"/>
      <c r="I1505" s="898"/>
      <c r="J1505" s="898"/>
      <c r="K1505" s="899"/>
      <c r="L1505" s="899"/>
      <c r="M1505" s="899"/>
      <c r="N1505" s="899"/>
      <c r="O1505" s="899"/>
      <c r="P1505" s="899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896"/>
      <c r="E1506" s="677"/>
      <c r="F1506" s="677"/>
      <c r="G1506" s="677"/>
      <c r="H1506" s="897"/>
      <c r="I1506" s="898"/>
      <c r="J1506" s="898"/>
      <c r="K1506" s="899"/>
      <c r="L1506" s="899"/>
      <c r="M1506" s="899"/>
      <c r="N1506" s="899"/>
      <c r="O1506" s="899"/>
      <c r="P1506" s="899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896"/>
      <c r="E1507" s="677"/>
      <c r="F1507" s="677"/>
      <c r="G1507" s="677"/>
      <c r="H1507" s="897"/>
      <c r="I1507" s="898"/>
      <c r="J1507" s="898"/>
      <c r="K1507" s="899"/>
      <c r="L1507" s="899"/>
      <c r="M1507" s="899"/>
      <c r="N1507" s="899"/>
      <c r="O1507" s="899"/>
      <c r="P1507" s="899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896"/>
      <c r="E1508" s="677"/>
      <c r="F1508" s="677"/>
      <c r="G1508" s="677"/>
      <c r="H1508" s="897"/>
      <c r="I1508" s="898"/>
      <c r="J1508" s="898"/>
      <c r="K1508" s="899"/>
      <c r="L1508" s="899"/>
      <c r="M1508" s="899"/>
      <c r="N1508" s="899"/>
      <c r="O1508" s="899"/>
      <c r="P1508" s="899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896"/>
      <c r="E1509" s="677"/>
      <c r="F1509" s="677"/>
      <c r="G1509" s="677"/>
      <c r="H1509" s="897"/>
      <c r="I1509" s="898"/>
      <c r="J1509" s="898"/>
      <c r="K1509" s="899"/>
      <c r="L1509" s="899"/>
      <c r="M1509" s="899"/>
      <c r="N1509" s="899"/>
      <c r="O1509" s="899"/>
      <c r="P1509" s="899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896"/>
      <c r="E1510" s="677"/>
      <c r="F1510" s="677"/>
      <c r="G1510" s="677"/>
      <c r="H1510" s="897"/>
      <c r="I1510" s="898"/>
      <c r="J1510" s="898"/>
      <c r="K1510" s="899"/>
      <c r="L1510" s="899"/>
      <c r="M1510" s="899"/>
      <c r="N1510" s="899"/>
      <c r="O1510" s="899"/>
      <c r="P1510" s="899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896"/>
      <c r="E1511" s="677"/>
      <c r="F1511" s="677"/>
      <c r="G1511" s="677"/>
      <c r="H1511" s="897"/>
      <c r="I1511" s="898"/>
      <c r="J1511" s="898"/>
      <c r="K1511" s="899"/>
      <c r="L1511" s="899"/>
      <c r="M1511" s="899"/>
      <c r="N1511" s="899"/>
      <c r="O1511" s="899"/>
      <c r="P1511" s="899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896"/>
      <c r="E1512" s="677"/>
      <c r="F1512" s="677"/>
      <c r="G1512" s="677"/>
      <c r="H1512" s="897"/>
      <c r="I1512" s="898"/>
      <c r="J1512" s="898"/>
      <c r="K1512" s="899"/>
      <c r="L1512" s="899"/>
      <c r="M1512" s="899"/>
      <c r="N1512" s="899"/>
      <c r="O1512" s="899"/>
      <c r="P1512" s="899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896"/>
      <c r="E1513" s="677"/>
      <c r="F1513" s="677"/>
      <c r="G1513" s="677"/>
      <c r="H1513" s="897"/>
      <c r="I1513" s="898"/>
      <c r="J1513" s="898"/>
      <c r="K1513" s="899"/>
      <c r="L1513" s="899"/>
      <c r="M1513" s="899"/>
      <c r="N1513" s="899"/>
      <c r="O1513" s="899"/>
      <c r="P1513" s="899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896"/>
      <c r="E1514" s="677"/>
      <c r="F1514" s="677"/>
      <c r="G1514" s="677"/>
      <c r="H1514" s="897"/>
      <c r="I1514" s="898"/>
      <c r="J1514" s="898"/>
      <c r="K1514" s="899"/>
      <c r="L1514" s="899"/>
      <c r="M1514" s="899"/>
      <c r="N1514" s="899"/>
      <c r="O1514" s="899"/>
      <c r="P1514" s="899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896"/>
      <c r="E1515" s="677"/>
      <c r="F1515" s="677"/>
      <c r="G1515" s="677"/>
      <c r="H1515" s="897"/>
      <c r="I1515" s="898"/>
      <c r="J1515" s="898"/>
      <c r="K1515" s="899"/>
      <c r="L1515" s="899"/>
      <c r="M1515" s="899"/>
      <c r="N1515" s="899"/>
      <c r="O1515" s="899"/>
      <c r="P1515" s="899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896"/>
      <c r="E1516" s="677"/>
      <c r="F1516" s="677"/>
      <c r="G1516" s="677"/>
      <c r="H1516" s="897"/>
      <c r="I1516" s="898"/>
      <c r="J1516" s="898"/>
      <c r="K1516" s="899"/>
      <c r="L1516" s="899"/>
      <c r="M1516" s="899"/>
      <c r="N1516" s="899"/>
      <c r="O1516" s="899"/>
      <c r="P1516" s="899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896"/>
      <c r="E1517" s="677"/>
      <c r="F1517" s="677"/>
      <c r="G1517" s="677"/>
      <c r="H1517" s="897"/>
      <c r="I1517" s="898"/>
      <c r="J1517" s="898"/>
      <c r="K1517" s="899"/>
      <c r="L1517" s="899"/>
      <c r="M1517" s="899"/>
      <c r="N1517" s="899"/>
      <c r="O1517" s="899"/>
      <c r="P1517" s="899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896"/>
      <c r="E1518" s="677"/>
      <c r="F1518" s="677"/>
      <c r="G1518" s="677"/>
      <c r="H1518" s="897"/>
      <c r="I1518" s="898"/>
      <c r="J1518" s="898"/>
      <c r="K1518" s="899"/>
      <c r="L1518" s="899"/>
      <c r="M1518" s="899"/>
      <c r="N1518" s="899"/>
      <c r="O1518" s="899"/>
      <c r="P1518" s="899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896"/>
      <c r="E1519" s="677"/>
      <c r="F1519" s="677"/>
      <c r="G1519" s="677"/>
      <c r="H1519" s="897"/>
      <c r="I1519" s="898"/>
      <c r="J1519" s="898"/>
      <c r="K1519" s="899"/>
      <c r="L1519" s="899"/>
      <c r="M1519" s="899"/>
      <c r="N1519" s="899"/>
      <c r="O1519" s="899"/>
      <c r="P1519" s="899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896"/>
      <c r="E1520" s="677"/>
      <c r="F1520" s="677"/>
      <c r="G1520" s="677"/>
      <c r="H1520" s="897"/>
      <c r="I1520" s="898"/>
      <c r="J1520" s="898"/>
      <c r="K1520" s="899"/>
      <c r="L1520" s="899"/>
      <c r="M1520" s="899"/>
      <c r="N1520" s="899"/>
      <c r="O1520" s="899"/>
      <c r="P1520" s="899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896"/>
      <c r="E1521" s="677"/>
      <c r="F1521" s="677"/>
      <c r="G1521" s="677"/>
      <c r="H1521" s="897"/>
      <c r="I1521" s="898"/>
      <c r="J1521" s="898"/>
      <c r="K1521" s="899"/>
      <c r="L1521" s="899"/>
      <c r="M1521" s="899"/>
      <c r="N1521" s="899"/>
      <c r="O1521" s="899"/>
      <c r="P1521" s="899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896"/>
      <c r="E1522" s="677"/>
      <c r="F1522" s="677"/>
      <c r="G1522" s="677"/>
      <c r="H1522" s="897"/>
      <c r="I1522" s="898"/>
      <c r="J1522" s="898"/>
      <c r="K1522" s="899"/>
      <c r="L1522" s="899"/>
      <c r="M1522" s="899"/>
      <c r="N1522" s="899"/>
      <c r="O1522" s="899"/>
      <c r="P1522" s="899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896"/>
      <c r="E1523" s="677"/>
      <c r="F1523" s="677"/>
      <c r="G1523" s="677"/>
      <c r="H1523" s="897"/>
      <c r="I1523" s="898"/>
      <c r="J1523" s="898"/>
      <c r="K1523" s="899"/>
      <c r="L1523" s="899"/>
      <c r="M1523" s="899"/>
      <c r="N1523" s="899"/>
      <c r="O1523" s="899"/>
      <c r="P1523" s="899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896"/>
      <c r="E1524" s="677"/>
      <c r="F1524" s="677"/>
      <c r="G1524" s="677"/>
      <c r="H1524" s="897"/>
      <c r="I1524" s="898"/>
      <c r="J1524" s="898"/>
      <c r="K1524" s="899"/>
      <c r="L1524" s="899"/>
      <c r="M1524" s="899"/>
      <c r="N1524" s="899"/>
      <c r="O1524" s="899"/>
      <c r="P1524" s="899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896"/>
      <c r="E1525" s="677"/>
      <c r="F1525" s="677"/>
      <c r="G1525" s="677"/>
      <c r="H1525" s="897"/>
      <c r="I1525" s="898"/>
      <c r="J1525" s="898"/>
      <c r="K1525" s="899"/>
      <c r="L1525" s="899"/>
      <c r="M1525" s="899"/>
      <c r="N1525" s="899"/>
      <c r="O1525" s="899"/>
      <c r="P1525" s="899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896"/>
      <c r="E1526" s="677"/>
      <c r="F1526" s="677"/>
      <c r="G1526" s="677"/>
      <c r="H1526" s="897"/>
      <c r="I1526" s="898"/>
      <c r="J1526" s="898"/>
      <c r="K1526" s="899"/>
      <c r="L1526" s="899"/>
      <c r="M1526" s="899"/>
      <c r="N1526" s="899"/>
      <c r="O1526" s="899"/>
      <c r="P1526" s="899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896"/>
      <c r="E1527" s="677"/>
      <c r="F1527" s="677"/>
      <c r="G1527" s="677"/>
      <c r="H1527" s="897"/>
      <c r="I1527" s="898"/>
      <c r="J1527" s="898"/>
      <c r="K1527" s="899"/>
      <c r="L1527" s="899"/>
      <c r="M1527" s="899"/>
      <c r="N1527" s="899"/>
      <c r="O1527" s="899"/>
      <c r="P1527" s="899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896"/>
      <c r="E1528" s="677"/>
      <c r="F1528" s="677"/>
      <c r="G1528" s="677"/>
      <c r="H1528" s="897"/>
      <c r="I1528" s="898"/>
      <c r="J1528" s="898"/>
      <c r="K1528" s="899"/>
      <c r="L1528" s="899"/>
      <c r="M1528" s="899"/>
      <c r="N1528" s="899"/>
      <c r="O1528" s="899"/>
      <c r="P1528" s="899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896"/>
      <c r="E1529" s="677"/>
      <c r="F1529" s="677"/>
      <c r="G1529" s="677"/>
      <c r="H1529" s="897"/>
      <c r="I1529" s="898"/>
      <c r="J1529" s="898"/>
      <c r="K1529" s="899"/>
      <c r="L1529" s="899"/>
      <c r="M1529" s="899"/>
      <c r="N1529" s="899"/>
      <c r="O1529" s="899"/>
      <c r="P1529" s="899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896"/>
      <c r="E1530" s="677"/>
      <c r="F1530" s="677"/>
      <c r="G1530" s="677"/>
      <c r="H1530" s="897"/>
      <c r="I1530" s="898"/>
      <c r="J1530" s="898"/>
      <c r="K1530" s="899"/>
      <c r="L1530" s="899"/>
      <c r="M1530" s="899"/>
      <c r="N1530" s="899"/>
      <c r="O1530" s="899"/>
      <c r="P1530" s="899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896"/>
      <c r="E1531" s="677"/>
      <c r="F1531" s="677"/>
      <c r="G1531" s="677"/>
      <c r="H1531" s="897"/>
      <c r="I1531" s="898"/>
      <c r="J1531" s="898"/>
      <c r="K1531" s="899"/>
      <c r="L1531" s="899"/>
      <c r="M1531" s="899"/>
      <c r="N1531" s="899"/>
      <c r="O1531" s="899"/>
      <c r="P1531" s="899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896"/>
      <c r="E1532" s="677"/>
      <c r="F1532" s="677"/>
      <c r="G1532" s="677"/>
      <c r="H1532" s="897"/>
      <c r="I1532" s="898"/>
      <c r="J1532" s="898"/>
      <c r="K1532" s="899"/>
      <c r="L1532" s="899"/>
      <c r="M1532" s="899"/>
      <c r="N1532" s="899"/>
      <c r="O1532" s="899"/>
      <c r="P1532" s="899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896"/>
      <c r="E1533" s="677"/>
      <c r="F1533" s="677"/>
      <c r="G1533" s="677"/>
      <c r="H1533" s="897"/>
      <c r="I1533" s="898"/>
      <c r="J1533" s="898"/>
      <c r="K1533" s="899"/>
      <c r="L1533" s="899"/>
      <c r="M1533" s="899"/>
      <c r="N1533" s="899"/>
      <c r="O1533" s="899"/>
      <c r="P1533" s="899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896"/>
      <c r="E1534" s="677"/>
      <c r="F1534" s="677"/>
      <c r="G1534" s="677"/>
      <c r="H1534" s="897"/>
      <c r="I1534" s="898"/>
      <c r="J1534" s="898"/>
      <c r="K1534" s="899"/>
      <c r="L1534" s="899"/>
      <c r="M1534" s="899"/>
      <c r="N1534" s="899"/>
      <c r="O1534" s="899"/>
      <c r="P1534" s="899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896"/>
      <c r="E1535" s="677"/>
      <c r="F1535" s="677"/>
      <c r="G1535" s="677"/>
      <c r="H1535" s="897"/>
      <c r="I1535" s="898"/>
      <c r="J1535" s="898"/>
      <c r="K1535" s="899"/>
      <c r="L1535" s="899"/>
      <c r="M1535" s="899"/>
      <c r="N1535" s="899"/>
      <c r="O1535" s="899"/>
      <c r="P1535" s="899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896"/>
      <c r="E1536" s="677"/>
      <c r="F1536" s="677"/>
      <c r="G1536" s="677"/>
      <c r="H1536" s="897"/>
      <c r="I1536" s="898"/>
      <c r="J1536" s="898"/>
      <c r="K1536" s="899"/>
      <c r="L1536" s="899"/>
      <c r="M1536" s="899"/>
      <c r="N1536" s="899"/>
      <c r="O1536" s="899"/>
      <c r="P1536" s="899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896"/>
      <c r="E1537" s="677"/>
      <c r="F1537" s="677"/>
      <c r="G1537" s="677"/>
      <c r="H1537" s="897"/>
      <c r="I1537" s="898"/>
      <c r="J1537" s="898"/>
      <c r="K1537" s="899"/>
      <c r="L1537" s="899"/>
      <c r="M1537" s="899"/>
      <c r="N1537" s="899"/>
      <c r="O1537" s="899"/>
      <c r="P1537" s="899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896"/>
      <c r="E1538" s="677"/>
      <c r="F1538" s="677"/>
      <c r="G1538" s="677"/>
      <c r="H1538" s="897"/>
      <c r="I1538" s="898"/>
      <c r="J1538" s="898"/>
      <c r="K1538" s="899"/>
      <c r="L1538" s="899"/>
      <c r="M1538" s="899"/>
      <c r="N1538" s="899"/>
      <c r="O1538" s="899"/>
      <c r="P1538" s="899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896"/>
      <c r="E1539" s="677"/>
      <c r="F1539" s="677"/>
      <c r="G1539" s="677"/>
      <c r="H1539" s="897"/>
      <c r="I1539" s="898"/>
      <c r="J1539" s="898"/>
      <c r="K1539" s="899"/>
      <c r="L1539" s="899"/>
      <c r="M1539" s="899"/>
      <c r="N1539" s="899"/>
      <c r="O1539" s="899"/>
      <c r="P1539" s="899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896"/>
      <c r="E1540" s="677"/>
      <c r="F1540" s="677"/>
      <c r="G1540" s="677"/>
      <c r="H1540" s="897"/>
      <c r="I1540" s="898"/>
      <c r="J1540" s="898"/>
      <c r="K1540" s="899"/>
      <c r="L1540" s="899"/>
      <c r="M1540" s="899"/>
      <c r="N1540" s="899"/>
      <c r="O1540" s="899"/>
      <c r="P1540" s="899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896"/>
      <c r="E1541" s="677"/>
      <c r="F1541" s="677"/>
      <c r="G1541" s="677"/>
      <c r="H1541" s="897"/>
      <c r="I1541" s="898"/>
      <c r="J1541" s="898"/>
      <c r="K1541" s="899"/>
      <c r="L1541" s="899"/>
      <c r="M1541" s="899"/>
      <c r="N1541" s="899"/>
      <c r="O1541" s="899"/>
      <c r="P1541" s="899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896"/>
      <c r="E1542" s="677"/>
      <c r="F1542" s="677"/>
      <c r="G1542" s="677"/>
      <c r="H1542" s="897"/>
      <c r="I1542" s="898"/>
      <c r="J1542" s="898"/>
      <c r="K1542" s="899"/>
      <c r="L1542" s="899"/>
      <c r="M1542" s="899"/>
      <c r="N1542" s="899"/>
      <c r="O1542" s="899"/>
      <c r="P1542" s="899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896"/>
      <c r="E1543" s="677"/>
      <c r="F1543" s="677"/>
      <c r="G1543" s="677"/>
      <c r="H1543" s="897"/>
      <c r="I1543" s="898"/>
      <c r="J1543" s="898"/>
      <c r="K1543" s="899"/>
      <c r="L1543" s="899"/>
      <c r="M1543" s="899"/>
      <c r="N1543" s="899"/>
      <c r="O1543" s="899"/>
      <c r="P1543" s="899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896"/>
      <c r="E1544" s="677"/>
      <c r="F1544" s="677"/>
      <c r="G1544" s="677"/>
      <c r="H1544" s="897"/>
      <c r="I1544" s="898"/>
      <c r="J1544" s="898"/>
      <c r="K1544" s="899"/>
      <c r="L1544" s="899"/>
      <c r="M1544" s="899"/>
      <c r="N1544" s="899"/>
      <c r="O1544" s="899"/>
      <c r="P1544" s="899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896"/>
      <c r="E1545" s="677"/>
      <c r="F1545" s="677"/>
      <c r="G1545" s="677"/>
      <c r="H1545" s="897"/>
      <c r="I1545" s="898"/>
      <c r="J1545" s="898"/>
      <c r="K1545" s="899"/>
      <c r="L1545" s="899"/>
      <c r="M1545" s="899"/>
      <c r="N1545" s="899"/>
      <c r="O1545" s="899"/>
      <c r="P1545" s="899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896"/>
      <c r="E1546" s="677"/>
      <c r="F1546" s="677"/>
      <c r="G1546" s="677"/>
      <c r="H1546" s="897"/>
      <c r="I1546" s="898"/>
      <c r="J1546" s="898"/>
      <c r="K1546" s="899"/>
      <c r="L1546" s="899"/>
      <c r="M1546" s="899"/>
      <c r="N1546" s="899"/>
      <c r="O1546" s="899"/>
      <c r="P1546" s="899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896"/>
      <c r="E1547" s="677"/>
      <c r="F1547" s="677"/>
      <c r="G1547" s="677"/>
      <c r="H1547" s="897"/>
      <c r="I1547" s="898"/>
      <c r="J1547" s="898"/>
      <c r="K1547" s="899"/>
      <c r="L1547" s="899"/>
      <c r="M1547" s="899"/>
      <c r="N1547" s="899"/>
      <c r="O1547" s="899"/>
      <c r="P1547" s="899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896"/>
      <c r="E1548" s="677"/>
      <c r="F1548" s="677"/>
      <c r="G1548" s="677"/>
      <c r="H1548" s="897"/>
      <c r="I1548" s="898"/>
      <c r="J1548" s="898"/>
      <c r="K1548" s="899"/>
      <c r="L1548" s="899"/>
      <c r="M1548" s="899"/>
      <c r="N1548" s="899"/>
      <c r="O1548" s="899"/>
      <c r="P1548" s="899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896"/>
      <c r="E1549" s="677"/>
      <c r="F1549" s="677"/>
      <c r="G1549" s="677"/>
      <c r="H1549" s="897"/>
      <c r="I1549" s="898"/>
      <c r="J1549" s="898"/>
      <c r="K1549" s="899"/>
      <c r="L1549" s="899"/>
      <c r="M1549" s="899"/>
      <c r="N1549" s="899"/>
      <c r="O1549" s="899"/>
      <c r="P1549" s="899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896"/>
      <c r="E1550" s="677"/>
      <c r="F1550" s="677"/>
      <c r="G1550" s="677"/>
      <c r="H1550" s="897"/>
      <c r="I1550" s="898"/>
      <c r="J1550" s="898"/>
      <c r="K1550" s="899"/>
      <c r="L1550" s="899"/>
      <c r="M1550" s="899"/>
      <c r="N1550" s="899"/>
      <c r="O1550" s="899"/>
      <c r="P1550" s="899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896"/>
      <c r="E1551" s="677"/>
      <c r="F1551" s="677"/>
      <c r="G1551" s="677"/>
      <c r="H1551" s="897"/>
      <c r="I1551" s="898"/>
      <c r="J1551" s="898"/>
      <c r="K1551" s="899"/>
      <c r="L1551" s="899"/>
      <c r="M1551" s="899"/>
      <c r="N1551" s="899"/>
      <c r="O1551" s="899"/>
      <c r="P1551" s="899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896"/>
      <c r="E1552" s="677"/>
      <c r="F1552" s="677"/>
      <c r="G1552" s="677"/>
      <c r="H1552" s="897"/>
      <c r="I1552" s="898"/>
      <c r="J1552" s="898"/>
      <c r="K1552" s="899"/>
      <c r="L1552" s="899"/>
      <c r="M1552" s="899"/>
      <c r="N1552" s="899"/>
      <c r="O1552" s="899"/>
      <c r="P1552" s="899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896"/>
      <c r="E1553" s="677"/>
      <c r="F1553" s="677"/>
      <c r="G1553" s="677"/>
      <c r="H1553" s="897"/>
      <c r="I1553" s="898"/>
      <c r="J1553" s="898"/>
      <c r="K1553" s="899"/>
      <c r="L1553" s="899"/>
      <c r="M1553" s="899"/>
      <c r="N1553" s="899"/>
      <c r="O1553" s="899"/>
      <c r="P1553" s="899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896"/>
      <c r="E1554" s="677"/>
      <c r="F1554" s="677"/>
      <c r="G1554" s="677"/>
      <c r="H1554" s="897"/>
      <c r="I1554" s="898"/>
      <c r="J1554" s="898"/>
      <c r="K1554" s="899"/>
      <c r="L1554" s="899"/>
      <c r="M1554" s="899"/>
      <c r="N1554" s="899"/>
      <c r="O1554" s="899"/>
      <c r="P1554" s="899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896"/>
      <c r="E1555" s="677"/>
      <c r="F1555" s="677"/>
      <c r="G1555" s="677"/>
      <c r="H1555" s="897"/>
      <c r="I1555" s="898"/>
      <c r="J1555" s="898"/>
      <c r="K1555" s="899"/>
      <c r="L1555" s="899"/>
      <c r="M1555" s="899"/>
      <c r="N1555" s="899"/>
      <c r="O1555" s="899"/>
      <c r="P1555" s="899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896"/>
      <c r="E1556" s="677"/>
      <c r="F1556" s="677"/>
      <c r="G1556" s="677"/>
      <c r="H1556" s="897"/>
      <c r="I1556" s="898"/>
      <c r="J1556" s="898"/>
      <c r="K1556" s="899"/>
      <c r="L1556" s="899"/>
      <c r="M1556" s="899"/>
      <c r="N1556" s="899"/>
      <c r="O1556" s="899"/>
      <c r="P1556" s="899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896"/>
      <c r="E1557" s="677"/>
      <c r="F1557" s="677"/>
      <c r="G1557" s="677"/>
      <c r="H1557" s="897"/>
      <c r="I1557" s="898"/>
      <c r="J1557" s="898"/>
      <c r="K1557" s="899"/>
      <c r="L1557" s="899"/>
      <c r="M1557" s="899"/>
      <c r="N1557" s="899"/>
      <c r="O1557" s="899"/>
      <c r="P1557" s="899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896"/>
      <c r="E1558" s="677"/>
      <c r="F1558" s="677"/>
      <c r="G1558" s="677"/>
      <c r="H1558" s="897"/>
      <c r="I1558" s="898"/>
      <c r="J1558" s="898"/>
      <c r="K1558" s="899"/>
      <c r="L1558" s="899"/>
      <c r="M1558" s="899"/>
      <c r="N1558" s="899"/>
      <c r="O1558" s="899"/>
      <c r="P1558" s="899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896"/>
      <c r="E1559" s="677"/>
      <c r="F1559" s="677"/>
      <c r="G1559" s="677"/>
      <c r="H1559" s="897"/>
      <c r="I1559" s="898"/>
      <c r="J1559" s="898"/>
      <c r="K1559" s="899"/>
      <c r="L1559" s="899"/>
      <c r="M1559" s="899"/>
      <c r="N1559" s="899"/>
      <c r="O1559" s="899"/>
      <c r="P1559" s="899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896"/>
      <c r="E1560" s="677"/>
      <c r="F1560" s="677"/>
      <c r="G1560" s="677"/>
      <c r="H1560" s="897"/>
      <c r="I1560" s="898"/>
      <c r="J1560" s="898"/>
      <c r="K1560" s="899"/>
      <c r="L1560" s="899"/>
      <c r="M1560" s="899"/>
      <c r="N1560" s="899"/>
      <c r="O1560" s="899"/>
      <c r="P1560" s="899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896"/>
      <c r="E1561" s="677"/>
      <c r="F1561" s="677"/>
      <c r="G1561" s="677"/>
      <c r="H1561" s="897"/>
      <c r="I1561" s="898"/>
      <c r="J1561" s="898"/>
      <c r="K1561" s="899"/>
      <c r="L1561" s="899"/>
      <c r="M1561" s="899"/>
      <c r="N1561" s="899"/>
      <c r="O1561" s="899"/>
      <c r="P1561" s="899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896"/>
      <c r="E1562" s="677"/>
      <c r="F1562" s="677"/>
      <c r="G1562" s="677"/>
      <c r="H1562" s="897"/>
      <c r="I1562" s="898"/>
      <c r="J1562" s="898"/>
      <c r="K1562" s="899"/>
      <c r="L1562" s="899"/>
      <c r="M1562" s="899"/>
      <c r="N1562" s="899"/>
      <c r="O1562" s="899"/>
      <c r="P1562" s="899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896"/>
      <c r="E1563" s="677"/>
      <c r="F1563" s="677"/>
      <c r="G1563" s="677"/>
      <c r="H1563" s="897"/>
      <c r="I1563" s="898"/>
      <c r="J1563" s="898"/>
      <c r="K1563" s="899"/>
      <c r="L1563" s="899"/>
      <c r="M1563" s="899"/>
      <c r="N1563" s="899"/>
      <c r="O1563" s="899"/>
      <c r="P1563" s="899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896"/>
      <c r="E1564" s="677"/>
      <c r="F1564" s="677"/>
      <c r="G1564" s="677"/>
      <c r="H1564" s="897"/>
      <c r="I1564" s="898"/>
      <c r="J1564" s="898"/>
      <c r="K1564" s="899"/>
      <c r="L1564" s="899"/>
      <c r="M1564" s="899"/>
      <c r="N1564" s="899"/>
      <c r="O1564" s="899"/>
      <c r="P1564" s="899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896"/>
      <c r="E1565" s="677"/>
      <c r="F1565" s="677"/>
      <c r="G1565" s="677"/>
      <c r="H1565" s="897"/>
      <c r="I1565" s="898"/>
      <c r="J1565" s="898"/>
      <c r="K1565" s="899"/>
      <c r="L1565" s="899"/>
      <c r="M1565" s="899"/>
      <c r="N1565" s="899"/>
      <c r="O1565" s="899"/>
      <c r="P1565" s="899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896"/>
      <c r="E1566" s="677"/>
      <c r="F1566" s="677"/>
      <c r="G1566" s="677"/>
      <c r="H1566" s="897"/>
      <c r="I1566" s="898"/>
      <c r="J1566" s="898"/>
      <c r="K1566" s="899"/>
      <c r="L1566" s="899"/>
      <c r="M1566" s="899"/>
      <c r="N1566" s="899"/>
      <c r="O1566" s="899"/>
      <c r="P1566" s="899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896"/>
      <c r="E1567" s="677"/>
      <c r="F1567" s="677"/>
      <c r="G1567" s="677"/>
      <c r="H1567" s="897"/>
      <c r="I1567" s="898"/>
      <c r="J1567" s="898"/>
      <c r="K1567" s="899"/>
      <c r="L1567" s="899"/>
      <c r="M1567" s="899"/>
      <c r="N1567" s="899"/>
      <c r="O1567" s="899"/>
      <c r="P1567" s="899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896"/>
      <c r="E1568" s="677"/>
      <c r="F1568" s="677"/>
      <c r="G1568" s="677"/>
      <c r="H1568" s="897"/>
      <c r="I1568" s="898"/>
      <c r="J1568" s="898"/>
      <c r="K1568" s="899"/>
      <c r="L1568" s="899"/>
      <c r="M1568" s="899"/>
      <c r="N1568" s="899"/>
      <c r="O1568" s="899"/>
      <c r="P1568" s="899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896"/>
      <c r="E1569" s="677"/>
      <c r="F1569" s="677"/>
      <c r="G1569" s="677"/>
      <c r="H1569" s="897"/>
      <c r="I1569" s="898"/>
      <c r="J1569" s="898"/>
      <c r="K1569" s="899"/>
      <c r="L1569" s="899"/>
      <c r="M1569" s="899"/>
      <c r="N1569" s="899"/>
      <c r="O1569" s="899"/>
      <c r="P1569" s="899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896"/>
      <c r="E1570" s="677"/>
      <c r="F1570" s="677"/>
      <c r="G1570" s="677"/>
      <c r="H1570" s="897"/>
      <c r="I1570" s="898"/>
      <c r="J1570" s="898"/>
      <c r="K1570" s="899"/>
      <c r="L1570" s="899"/>
      <c r="M1570" s="899"/>
      <c r="N1570" s="899"/>
      <c r="O1570" s="899"/>
      <c r="P1570" s="899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896"/>
      <c r="E1571" s="677"/>
      <c r="F1571" s="677"/>
      <c r="G1571" s="677"/>
      <c r="H1571" s="897"/>
      <c r="I1571" s="898"/>
      <c r="J1571" s="898"/>
      <c r="K1571" s="899"/>
      <c r="L1571" s="899"/>
      <c r="M1571" s="899"/>
      <c r="N1571" s="899"/>
      <c r="O1571" s="899"/>
      <c r="P1571" s="899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896"/>
      <c r="E1572" s="677"/>
      <c r="F1572" s="677"/>
      <c r="G1572" s="677"/>
      <c r="H1572" s="897"/>
      <c r="I1572" s="898"/>
      <c r="J1572" s="898"/>
      <c r="K1572" s="899"/>
      <c r="L1572" s="899"/>
      <c r="M1572" s="899"/>
      <c r="N1572" s="899"/>
      <c r="O1572" s="899"/>
      <c r="P1572" s="899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896"/>
      <c r="E1573" s="677"/>
      <c r="F1573" s="677"/>
      <c r="G1573" s="677"/>
      <c r="H1573" s="897"/>
      <c r="I1573" s="898"/>
      <c r="J1573" s="898"/>
      <c r="K1573" s="899"/>
      <c r="L1573" s="899"/>
      <c r="M1573" s="899"/>
      <c r="N1573" s="899"/>
      <c r="O1573" s="899"/>
      <c r="P1573" s="899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896"/>
      <c r="E1574" s="677"/>
      <c r="F1574" s="677"/>
      <c r="G1574" s="677"/>
      <c r="H1574" s="897"/>
      <c r="I1574" s="898"/>
      <c r="J1574" s="898"/>
      <c r="K1574" s="899"/>
      <c r="L1574" s="899"/>
      <c r="M1574" s="899"/>
      <c r="N1574" s="899"/>
      <c r="O1574" s="899"/>
      <c r="P1574" s="899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896"/>
      <c r="E1575" s="677"/>
      <c r="F1575" s="677"/>
      <c r="G1575" s="677"/>
      <c r="H1575" s="897"/>
      <c r="I1575" s="898"/>
      <c r="J1575" s="898"/>
      <c r="K1575" s="899"/>
      <c r="L1575" s="899"/>
      <c r="M1575" s="899"/>
      <c r="N1575" s="899"/>
      <c r="O1575" s="899"/>
      <c r="P1575" s="899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896"/>
      <c r="E1576" s="677"/>
      <c r="F1576" s="677"/>
      <c r="G1576" s="677"/>
      <c r="H1576" s="897"/>
      <c r="I1576" s="898"/>
      <c r="J1576" s="898"/>
      <c r="K1576" s="899"/>
      <c r="L1576" s="899"/>
      <c r="M1576" s="899"/>
      <c r="N1576" s="899"/>
      <c r="O1576" s="899"/>
      <c r="P1576" s="899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896"/>
      <c r="E1577" s="677"/>
      <c r="F1577" s="677"/>
      <c r="G1577" s="677"/>
      <c r="H1577" s="897"/>
      <c r="I1577" s="898"/>
      <c r="J1577" s="898"/>
      <c r="K1577" s="899"/>
      <c r="L1577" s="899"/>
      <c r="M1577" s="899"/>
      <c r="N1577" s="899"/>
      <c r="O1577" s="899"/>
      <c r="P1577" s="899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896"/>
      <c r="E1578" s="677"/>
      <c r="F1578" s="677"/>
      <c r="G1578" s="677"/>
      <c r="H1578" s="897"/>
      <c r="I1578" s="898"/>
      <c r="J1578" s="898"/>
      <c r="K1578" s="899"/>
      <c r="L1578" s="899"/>
      <c r="M1578" s="899"/>
      <c r="N1578" s="899"/>
      <c r="O1578" s="899"/>
      <c r="P1578" s="899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896"/>
      <c r="E1579" s="677"/>
      <c r="F1579" s="677"/>
      <c r="G1579" s="677"/>
      <c r="H1579" s="897"/>
      <c r="I1579" s="898"/>
      <c r="J1579" s="898"/>
      <c r="K1579" s="899"/>
      <c r="L1579" s="899"/>
      <c r="M1579" s="899"/>
      <c r="N1579" s="899"/>
      <c r="O1579" s="899"/>
      <c r="P1579" s="899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896"/>
      <c r="E1580" s="677"/>
      <c r="F1580" s="677"/>
      <c r="G1580" s="677"/>
      <c r="H1580" s="897"/>
      <c r="I1580" s="898"/>
      <c r="J1580" s="898"/>
      <c r="K1580" s="899"/>
      <c r="L1580" s="899"/>
      <c r="M1580" s="899"/>
      <c r="N1580" s="899"/>
      <c r="O1580" s="899"/>
      <c r="P1580" s="899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896"/>
      <c r="E1581" s="677"/>
      <c r="F1581" s="677"/>
      <c r="G1581" s="677"/>
      <c r="H1581" s="897"/>
      <c r="I1581" s="898"/>
      <c r="J1581" s="898"/>
      <c r="K1581" s="899"/>
      <c r="L1581" s="899"/>
      <c r="M1581" s="899"/>
      <c r="N1581" s="899"/>
      <c r="O1581" s="899"/>
      <c r="P1581" s="899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896"/>
      <c r="E1582" s="677"/>
      <c r="F1582" s="677"/>
      <c r="G1582" s="677"/>
      <c r="H1582" s="897"/>
      <c r="I1582" s="898"/>
      <c r="J1582" s="898"/>
      <c r="K1582" s="899"/>
      <c r="L1582" s="899"/>
      <c r="M1582" s="899"/>
      <c r="N1582" s="899"/>
      <c r="O1582" s="899"/>
      <c r="P1582" s="899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896"/>
      <c r="E1583" s="677"/>
      <c r="F1583" s="677"/>
      <c r="G1583" s="677"/>
      <c r="H1583" s="897"/>
      <c r="I1583" s="898"/>
      <c r="J1583" s="898"/>
      <c r="K1583" s="899"/>
      <c r="L1583" s="899"/>
      <c r="M1583" s="899"/>
      <c r="N1583" s="899"/>
      <c r="O1583" s="899"/>
      <c r="P1583" s="899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896"/>
      <c r="E1584" s="677"/>
      <c r="F1584" s="677"/>
      <c r="G1584" s="677"/>
      <c r="H1584" s="897"/>
      <c r="I1584" s="898"/>
      <c r="J1584" s="898"/>
      <c r="K1584" s="899"/>
      <c r="L1584" s="899"/>
      <c r="M1584" s="899"/>
      <c r="N1584" s="899"/>
      <c r="O1584" s="899"/>
      <c r="P1584" s="899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896"/>
      <c r="E1585" s="677"/>
      <c r="F1585" s="677"/>
      <c r="G1585" s="677"/>
      <c r="H1585" s="897"/>
      <c r="I1585" s="898"/>
      <c r="J1585" s="898"/>
      <c r="K1585" s="899"/>
      <c r="L1585" s="899"/>
      <c r="M1585" s="899"/>
      <c r="N1585" s="899"/>
      <c r="O1585" s="899"/>
      <c r="P1585" s="899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896"/>
      <c r="E1586" s="677"/>
      <c r="F1586" s="677"/>
      <c r="G1586" s="677"/>
      <c r="H1586" s="897"/>
      <c r="I1586" s="898"/>
      <c r="J1586" s="898"/>
      <c r="K1586" s="899"/>
      <c r="L1586" s="899"/>
      <c r="M1586" s="899"/>
      <c r="N1586" s="899"/>
      <c r="O1586" s="899"/>
      <c r="P1586" s="899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896"/>
      <c r="E1587" s="677"/>
      <c r="F1587" s="677"/>
      <c r="G1587" s="677"/>
      <c r="H1587" s="897"/>
      <c r="I1587" s="898"/>
      <c r="J1587" s="898"/>
      <c r="K1587" s="899"/>
      <c r="L1587" s="899"/>
      <c r="M1587" s="899"/>
      <c r="N1587" s="899"/>
      <c r="O1587" s="899"/>
      <c r="P1587" s="899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896"/>
      <c r="E1588" s="677"/>
      <c r="F1588" s="677"/>
      <c r="G1588" s="677"/>
      <c r="H1588" s="897"/>
      <c r="I1588" s="898"/>
      <c r="J1588" s="898"/>
      <c r="K1588" s="899"/>
      <c r="L1588" s="899"/>
      <c r="M1588" s="899"/>
      <c r="N1588" s="899"/>
      <c r="O1588" s="899"/>
      <c r="P1588" s="899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896"/>
      <c r="E1589" s="677"/>
      <c r="F1589" s="677"/>
      <c r="G1589" s="677"/>
      <c r="H1589" s="897"/>
      <c r="I1589" s="898"/>
      <c r="J1589" s="898"/>
      <c r="K1589" s="899"/>
      <c r="L1589" s="899"/>
      <c r="M1589" s="899"/>
      <c r="N1589" s="899"/>
      <c r="O1589" s="899"/>
      <c r="P1589" s="899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896"/>
      <c r="E1590" s="677"/>
      <c r="F1590" s="677"/>
      <c r="G1590" s="677"/>
      <c r="H1590" s="897"/>
      <c r="I1590" s="898"/>
      <c r="J1590" s="898"/>
      <c r="K1590" s="899"/>
      <c r="L1590" s="899"/>
      <c r="M1590" s="899"/>
      <c r="N1590" s="899"/>
      <c r="O1590" s="899"/>
      <c r="P1590" s="899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896"/>
      <c r="E1591" s="677"/>
      <c r="F1591" s="677"/>
      <c r="G1591" s="677"/>
      <c r="H1591" s="897"/>
      <c r="I1591" s="898"/>
      <c r="J1591" s="898"/>
      <c r="K1591" s="899"/>
      <c r="L1591" s="899"/>
      <c r="M1591" s="899"/>
      <c r="N1591" s="899"/>
      <c r="O1591" s="899"/>
      <c r="P1591" s="899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896"/>
      <c r="E1592" s="677"/>
      <c r="F1592" s="677"/>
      <c r="G1592" s="677"/>
      <c r="H1592" s="897"/>
      <c r="I1592" s="898"/>
      <c r="J1592" s="898"/>
      <c r="K1592" s="899"/>
      <c r="L1592" s="899"/>
      <c r="M1592" s="899"/>
      <c r="N1592" s="899"/>
      <c r="O1592" s="899"/>
      <c r="P1592" s="899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896"/>
      <c r="E1593" s="677"/>
      <c r="F1593" s="677"/>
      <c r="G1593" s="677"/>
      <c r="H1593" s="897"/>
      <c r="I1593" s="898"/>
      <c r="J1593" s="898"/>
      <c r="K1593" s="899"/>
      <c r="L1593" s="899"/>
      <c r="M1593" s="899"/>
      <c r="N1593" s="899"/>
      <c r="O1593" s="899"/>
      <c r="P1593" s="899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896"/>
      <c r="E1594" s="677"/>
      <c r="F1594" s="677"/>
      <c r="G1594" s="677"/>
      <c r="H1594" s="897"/>
      <c r="I1594" s="898"/>
      <c r="J1594" s="898"/>
      <c r="K1594" s="899"/>
      <c r="L1594" s="899"/>
      <c r="M1594" s="899"/>
      <c r="N1594" s="899"/>
      <c r="O1594" s="899"/>
      <c r="P1594" s="899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896"/>
      <c r="E1595" s="677"/>
      <c r="F1595" s="677"/>
      <c r="G1595" s="677"/>
      <c r="H1595" s="897"/>
      <c r="I1595" s="898"/>
      <c r="J1595" s="898"/>
      <c r="K1595" s="899"/>
      <c r="L1595" s="899"/>
      <c r="M1595" s="899"/>
      <c r="N1595" s="899"/>
      <c r="O1595" s="899"/>
      <c r="P1595" s="899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896"/>
      <c r="E1596" s="677"/>
      <c r="F1596" s="677"/>
      <c r="G1596" s="677"/>
      <c r="H1596" s="897"/>
      <c r="I1596" s="898"/>
      <c r="J1596" s="898"/>
      <c r="K1596" s="899"/>
      <c r="L1596" s="899"/>
      <c r="M1596" s="899"/>
      <c r="N1596" s="899"/>
      <c r="O1596" s="899"/>
      <c r="P1596" s="899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896"/>
      <c r="E1597" s="677"/>
      <c r="F1597" s="677"/>
      <c r="G1597" s="677"/>
      <c r="H1597" s="897"/>
      <c r="I1597" s="898"/>
      <c r="J1597" s="898"/>
      <c r="K1597" s="899"/>
      <c r="L1597" s="899"/>
      <c r="M1597" s="899"/>
      <c r="N1597" s="899"/>
      <c r="O1597" s="899"/>
      <c r="P1597" s="899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896"/>
      <c r="E1598" s="677"/>
      <c r="F1598" s="677"/>
      <c r="G1598" s="677"/>
      <c r="H1598" s="897"/>
      <c r="I1598" s="898"/>
      <c r="J1598" s="898"/>
      <c r="K1598" s="899"/>
      <c r="L1598" s="899"/>
      <c r="M1598" s="899"/>
      <c r="N1598" s="899"/>
      <c r="O1598" s="899"/>
      <c r="P1598" s="899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896"/>
      <c r="E1599" s="677"/>
      <c r="F1599" s="677"/>
      <c r="G1599" s="677"/>
      <c r="H1599" s="897"/>
      <c r="I1599" s="898"/>
      <c r="J1599" s="898"/>
      <c r="K1599" s="899"/>
      <c r="L1599" s="899"/>
      <c r="M1599" s="899"/>
      <c r="N1599" s="899"/>
      <c r="O1599" s="899"/>
      <c r="P1599" s="899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896"/>
      <c r="E1600" s="677"/>
      <c r="F1600" s="677"/>
      <c r="G1600" s="677"/>
      <c r="H1600" s="897"/>
      <c r="I1600" s="898"/>
      <c r="J1600" s="898"/>
      <c r="K1600" s="899"/>
      <c r="L1600" s="899"/>
      <c r="M1600" s="899"/>
      <c r="N1600" s="899"/>
      <c r="O1600" s="899"/>
      <c r="P1600" s="899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896"/>
      <c r="E1601" s="677"/>
      <c r="F1601" s="677"/>
      <c r="G1601" s="677"/>
      <c r="H1601" s="897"/>
      <c r="I1601" s="898"/>
      <c r="J1601" s="898"/>
      <c r="K1601" s="899"/>
      <c r="L1601" s="899"/>
      <c r="M1601" s="899"/>
      <c r="N1601" s="899"/>
      <c r="O1601" s="899"/>
      <c r="P1601" s="899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896"/>
      <c r="E1602" s="677"/>
      <c r="F1602" s="677"/>
      <c r="G1602" s="677"/>
      <c r="H1602" s="897"/>
      <c r="I1602" s="898"/>
      <c r="J1602" s="898"/>
      <c r="K1602" s="899"/>
      <c r="L1602" s="899"/>
      <c r="M1602" s="899"/>
      <c r="N1602" s="899"/>
      <c r="O1602" s="899"/>
      <c r="P1602" s="899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896"/>
      <c r="E1603" s="677"/>
      <c r="F1603" s="677"/>
      <c r="G1603" s="677"/>
      <c r="H1603" s="897"/>
      <c r="I1603" s="898"/>
      <c r="J1603" s="898"/>
      <c r="K1603" s="899"/>
      <c r="L1603" s="899"/>
      <c r="M1603" s="899"/>
      <c r="N1603" s="899"/>
      <c r="O1603" s="899"/>
      <c r="P1603" s="899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896"/>
      <c r="E1604" s="677"/>
      <c r="F1604" s="677"/>
      <c r="G1604" s="677"/>
      <c r="H1604" s="897"/>
      <c r="I1604" s="898"/>
      <c r="J1604" s="898"/>
      <c r="K1604" s="899"/>
      <c r="L1604" s="899"/>
      <c r="M1604" s="899"/>
      <c r="N1604" s="899"/>
      <c r="O1604" s="899"/>
      <c r="P1604" s="899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896"/>
      <c r="E1605" s="677"/>
      <c r="F1605" s="677"/>
      <c r="G1605" s="677"/>
      <c r="H1605" s="897"/>
      <c r="I1605" s="898"/>
      <c r="J1605" s="898"/>
      <c r="K1605" s="899"/>
      <c r="L1605" s="899"/>
      <c r="M1605" s="899"/>
      <c r="N1605" s="899"/>
      <c r="O1605" s="899"/>
      <c r="P1605" s="899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896"/>
      <c r="E1606" s="677"/>
      <c r="F1606" s="677"/>
      <c r="G1606" s="677"/>
      <c r="H1606" s="897"/>
      <c r="I1606" s="898"/>
      <c r="J1606" s="898"/>
      <c r="K1606" s="899"/>
      <c r="L1606" s="899"/>
      <c r="M1606" s="899"/>
      <c r="N1606" s="899"/>
      <c r="O1606" s="899"/>
      <c r="P1606" s="899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896"/>
      <c r="E1607" s="677"/>
      <c r="F1607" s="677"/>
      <c r="G1607" s="677"/>
      <c r="H1607" s="897"/>
      <c r="I1607" s="898"/>
      <c r="J1607" s="898"/>
      <c r="K1607" s="899"/>
      <c r="L1607" s="899"/>
      <c r="M1607" s="899"/>
      <c r="N1607" s="899"/>
      <c r="O1607" s="899"/>
      <c r="P1607" s="899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896"/>
      <c r="E1608" s="677"/>
      <c r="F1608" s="677"/>
      <c r="G1608" s="677"/>
      <c r="H1608" s="897"/>
      <c r="I1608" s="898"/>
      <c r="J1608" s="898"/>
      <c r="K1608" s="899"/>
      <c r="L1608" s="899"/>
      <c r="M1608" s="899"/>
      <c r="N1608" s="899"/>
      <c r="O1608" s="899"/>
      <c r="P1608" s="899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896"/>
      <c r="E1609" s="677"/>
      <c r="F1609" s="677"/>
      <c r="G1609" s="677"/>
      <c r="H1609" s="897"/>
      <c r="I1609" s="898"/>
      <c r="J1609" s="898"/>
      <c r="K1609" s="899"/>
      <c r="L1609" s="899"/>
      <c r="M1609" s="899"/>
      <c r="N1609" s="899"/>
      <c r="O1609" s="899"/>
      <c r="P1609" s="899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896"/>
      <c r="E1610" s="677"/>
      <c r="F1610" s="677"/>
      <c r="G1610" s="677"/>
      <c r="H1610" s="897"/>
      <c r="I1610" s="898"/>
      <c r="J1610" s="898"/>
      <c r="K1610" s="899"/>
      <c r="L1610" s="899"/>
      <c r="M1610" s="899"/>
      <c r="N1610" s="899"/>
      <c r="O1610" s="899"/>
      <c r="P1610" s="899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896"/>
      <c r="E1611" s="677"/>
      <c r="F1611" s="677"/>
      <c r="G1611" s="677"/>
      <c r="H1611" s="897"/>
      <c r="I1611" s="898"/>
      <c r="J1611" s="898"/>
      <c r="K1611" s="899"/>
      <c r="L1611" s="899"/>
      <c r="M1611" s="899"/>
      <c r="N1611" s="899"/>
      <c r="O1611" s="899"/>
      <c r="P1611" s="899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896"/>
      <c r="E1612" s="677"/>
      <c r="F1612" s="677"/>
      <c r="G1612" s="677"/>
      <c r="H1612" s="897"/>
      <c r="I1612" s="898"/>
      <c r="J1612" s="898"/>
      <c r="K1612" s="899"/>
      <c r="L1612" s="899"/>
      <c r="M1612" s="899"/>
      <c r="N1612" s="899"/>
      <c r="O1612" s="899"/>
      <c r="P1612" s="899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896"/>
      <c r="E1613" s="677"/>
      <c r="F1613" s="677"/>
      <c r="G1613" s="677"/>
      <c r="H1613" s="897"/>
      <c r="I1613" s="898"/>
      <c r="J1613" s="898"/>
      <c r="K1613" s="899"/>
      <c r="L1613" s="899"/>
      <c r="M1613" s="899"/>
      <c r="N1613" s="899"/>
      <c r="O1613" s="899"/>
      <c r="P1613" s="899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896"/>
      <c r="E1614" s="677"/>
      <c r="F1614" s="677"/>
      <c r="G1614" s="677"/>
      <c r="H1614" s="897"/>
      <c r="I1614" s="898"/>
      <c r="J1614" s="898"/>
      <c r="K1614" s="899"/>
      <c r="L1614" s="899"/>
      <c r="M1614" s="899"/>
      <c r="N1614" s="899"/>
      <c r="O1614" s="899"/>
      <c r="P1614" s="899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896"/>
      <c r="E1615" s="677"/>
      <c r="F1615" s="677"/>
      <c r="G1615" s="677"/>
      <c r="H1615" s="897"/>
      <c r="I1615" s="898"/>
      <c r="J1615" s="898"/>
      <c r="K1615" s="899"/>
      <c r="L1615" s="899"/>
      <c r="M1615" s="899"/>
      <c r="N1615" s="899"/>
      <c r="O1615" s="899"/>
      <c r="P1615" s="899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896"/>
      <c r="E1616" s="677"/>
      <c r="F1616" s="677"/>
      <c r="G1616" s="677"/>
      <c r="H1616" s="897"/>
      <c r="I1616" s="898"/>
      <c r="J1616" s="898"/>
      <c r="K1616" s="899"/>
      <c r="L1616" s="899"/>
      <c r="M1616" s="899"/>
      <c r="N1616" s="899"/>
      <c r="O1616" s="899"/>
      <c r="P1616" s="899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896"/>
      <c r="E1617" s="677"/>
      <c r="F1617" s="677"/>
      <c r="G1617" s="677"/>
      <c r="H1617" s="897"/>
      <c r="I1617" s="898"/>
      <c r="J1617" s="898"/>
      <c r="K1617" s="899"/>
      <c r="L1617" s="899"/>
      <c r="M1617" s="899"/>
      <c r="N1617" s="899"/>
      <c r="O1617" s="899"/>
      <c r="P1617" s="899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896"/>
      <c r="E1618" s="677"/>
      <c r="F1618" s="677"/>
      <c r="G1618" s="677"/>
      <c r="H1618" s="897"/>
      <c r="I1618" s="898"/>
      <c r="J1618" s="898"/>
      <c r="K1618" s="899"/>
      <c r="L1618" s="899"/>
      <c r="M1618" s="899"/>
      <c r="N1618" s="899"/>
      <c r="O1618" s="899"/>
      <c r="P1618" s="899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896"/>
      <c r="E1619" s="677"/>
      <c r="F1619" s="677"/>
      <c r="G1619" s="677"/>
      <c r="H1619" s="897"/>
      <c r="I1619" s="898"/>
      <c r="J1619" s="898"/>
      <c r="K1619" s="899"/>
      <c r="L1619" s="899"/>
      <c r="M1619" s="899"/>
      <c r="N1619" s="899"/>
      <c r="O1619" s="899"/>
      <c r="P1619" s="899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896"/>
      <c r="E1620" s="677"/>
      <c r="F1620" s="677"/>
      <c r="G1620" s="677"/>
      <c r="H1620" s="897"/>
      <c r="I1620" s="898"/>
      <c r="J1620" s="898"/>
      <c r="K1620" s="899"/>
      <c r="L1620" s="899"/>
      <c r="M1620" s="899"/>
      <c r="N1620" s="899"/>
      <c r="O1620" s="899"/>
      <c r="P1620" s="899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896"/>
      <c r="E1621" s="677"/>
      <c r="F1621" s="677"/>
      <c r="G1621" s="677"/>
      <c r="H1621" s="897"/>
      <c r="I1621" s="898"/>
      <c r="J1621" s="898"/>
      <c r="K1621" s="899"/>
      <c r="L1621" s="899"/>
      <c r="M1621" s="899"/>
      <c r="N1621" s="899"/>
      <c r="O1621" s="899"/>
      <c r="P1621" s="899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896"/>
      <c r="E1622" s="677"/>
      <c r="F1622" s="677"/>
      <c r="G1622" s="677"/>
      <c r="H1622" s="897"/>
      <c r="I1622" s="898"/>
      <c r="J1622" s="898"/>
      <c r="K1622" s="899"/>
      <c r="L1622" s="899"/>
      <c r="M1622" s="899"/>
      <c r="N1622" s="899"/>
      <c r="O1622" s="899"/>
      <c r="P1622" s="899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896"/>
      <c r="E1623" s="677"/>
      <c r="F1623" s="677"/>
      <c r="G1623" s="677"/>
      <c r="H1623" s="897"/>
      <c r="I1623" s="898"/>
      <c r="J1623" s="898"/>
      <c r="K1623" s="899"/>
      <c r="L1623" s="899"/>
      <c r="M1623" s="899"/>
      <c r="N1623" s="899"/>
      <c r="O1623" s="899"/>
      <c r="P1623" s="899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896"/>
      <c r="E1624" s="677"/>
      <c r="F1624" s="677"/>
      <c r="G1624" s="677"/>
      <c r="H1624" s="897"/>
      <c r="I1624" s="898"/>
      <c r="J1624" s="898"/>
      <c r="K1624" s="899"/>
      <c r="L1624" s="899"/>
      <c r="M1624" s="899"/>
      <c r="N1624" s="899"/>
      <c r="O1624" s="899"/>
      <c r="P1624" s="899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896"/>
      <c r="E1625" s="677"/>
      <c r="F1625" s="677"/>
      <c r="G1625" s="677"/>
      <c r="H1625" s="897"/>
      <c r="I1625" s="898"/>
      <c r="J1625" s="898"/>
      <c r="K1625" s="899"/>
      <c r="L1625" s="899"/>
      <c r="M1625" s="899"/>
      <c r="N1625" s="899"/>
      <c r="O1625" s="899"/>
      <c r="P1625" s="899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896"/>
      <c r="E1626" s="677"/>
      <c r="F1626" s="677"/>
      <c r="G1626" s="677"/>
      <c r="H1626" s="897"/>
      <c r="I1626" s="898"/>
      <c r="J1626" s="898"/>
      <c r="K1626" s="899"/>
      <c r="L1626" s="899"/>
      <c r="M1626" s="899"/>
      <c r="N1626" s="899"/>
      <c r="O1626" s="899"/>
      <c r="P1626" s="899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896"/>
      <c r="E1627" s="677"/>
      <c r="F1627" s="677"/>
      <c r="G1627" s="677"/>
      <c r="H1627" s="897"/>
      <c r="I1627" s="898"/>
      <c r="J1627" s="898"/>
      <c r="K1627" s="899"/>
      <c r="L1627" s="899"/>
      <c r="M1627" s="899"/>
      <c r="N1627" s="899"/>
      <c r="O1627" s="899"/>
      <c r="P1627" s="899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896"/>
      <c r="E1628" s="677"/>
      <c r="F1628" s="677"/>
      <c r="G1628" s="677"/>
      <c r="H1628" s="897"/>
      <c r="I1628" s="898"/>
      <c r="J1628" s="898"/>
      <c r="K1628" s="899"/>
      <c r="L1628" s="899"/>
      <c r="M1628" s="899"/>
      <c r="N1628" s="899"/>
      <c r="O1628" s="899"/>
      <c r="P1628" s="899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896"/>
      <c r="E1629" s="677"/>
      <c r="F1629" s="677"/>
      <c r="G1629" s="677"/>
      <c r="H1629" s="897"/>
      <c r="I1629" s="898"/>
      <c r="J1629" s="898"/>
      <c r="K1629" s="899"/>
      <c r="L1629" s="899"/>
      <c r="M1629" s="899"/>
      <c r="N1629" s="899"/>
      <c r="O1629" s="899"/>
      <c r="P1629" s="899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896"/>
      <c r="E1630" s="677"/>
      <c r="F1630" s="677"/>
      <c r="G1630" s="677"/>
      <c r="H1630" s="897"/>
      <c r="I1630" s="898"/>
      <c r="J1630" s="898"/>
      <c r="K1630" s="899"/>
      <c r="L1630" s="899"/>
      <c r="M1630" s="899"/>
      <c r="N1630" s="899"/>
      <c r="O1630" s="899"/>
      <c r="P1630" s="899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896"/>
      <c r="E1631" s="677"/>
      <c r="F1631" s="677"/>
      <c r="G1631" s="677"/>
      <c r="H1631" s="897"/>
      <c r="I1631" s="898"/>
      <c r="J1631" s="898"/>
      <c r="K1631" s="899"/>
      <c r="L1631" s="899"/>
      <c r="M1631" s="899"/>
      <c r="N1631" s="899"/>
      <c r="O1631" s="899"/>
      <c r="P1631" s="899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896"/>
      <c r="E1632" s="677"/>
      <c r="F1632" s="677"/>
      <c r="G1632" s="677"/>
      <c r="H1632" s="897"/>
      <c r="I1632" s="898"/>
      <c r="J1632" s="898"/>
      <c r="K1632" s="899"/>
      <c r="L1632" s="899"/>
      <c r="M1632" s="899"/>
      <c r="N1632" s="899"/>
      <c r="O1632" s="899"/>
      <c r="P1632" s="899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896"/>
      <c r="E1633" s="677"/>
      <c r="F1633" s="677"/>
      <c r="G1633" s="677"/>
      <c r="H1633" s="897"/>
      <c r="I1633" s="898"/>
      <c r="J1633" s="898"/>
      <c r="K1633" s="899"/>
      <c r="L1633" s="899"/>
      <c r="M1633" s="899"/>
      <c r="N1633" s="899"/>
      <c r="O1633" s="899"/>
      <c r="P1633" s="899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896"/>
      <c r="E1634" s="677"/>
      <c r="F1634" s="677"/>
      <c r="G1634" s="677"/>
      <c r="H1634" s="897"/>
      <c r="I1634" s="898"/>
      <c r="J1634" s="898"/>
      <c r="K1634" s="899"/>
      <c r="L1634" s="899"/>
      <c r="M1634" s="899"/>
      <c r="N1634" s="899"/>
      <c r="O1634" s="899"/>
      <c r="P1634" s="899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896"/>
      <c r="E1635" s="677"/>
      <c r="F1635" s="677"/>
      <c r="G1635" s="677"/>
      <c r="H1635" s="897"/>
      <c r="I1635" s="898"/>
      <c r="J1635" s="898"/>
      <c r="K1635" s="899"/>
      <c r="L1635" s="899"/>
      <c r="M1635" s="899"/>
      <c r="N1635" s="899"/>
      <c r="O1635" s="899"/>
      <c r="P1635" s="899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896"/>
      <c r="E1636" s="677"/>
      <c r="F1636" s="677"/>
      <c r="G1636" s="677"/>
      <c r="H1636" s="897"/>
      <c r="I1636" s="898"/>
      <c r="J1636" s="898"/>
      <c r="K1636" s="899"/>
      <c r="L1636" s="899"/>
      <c r="M1636" s="899"/>
      <c r="N1636" s="899"/>
      <c r="O1636" s="899"/>
      <c r="P1636" s="899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896"/>
      <c r="E1637" s="677"/>
      <c r="F1637" s="677"/>
      <c r="G1637" s="677"/>
      <c r="H1637" s="897"/>
      <c r="I1637" s="898"/>
      <c r="J1637" s="898"/>
      <c r="K1637" s="899"/>
      <c r="L1637" s="899"/>
      <c r="M1637" s="899"/>
      <c r="N1637" s="899"/>
      <c r="O1637" s="899"/>
      <c r="P1637" s="899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896"/>
      <c r="E1638" s="677"/>
      <c r="F1638" s="677"/>
      <c r="G1638" s="677"/>
      <c r="H1638" s="897"/>
      <c r="I1638" s="898"/>
      <c r="J1638" s="898"/>
      <c r="K1638" s="899"/>
      <c r="L1638" s="899"/>
      <c r="M1638" s="899"/>
      <c r="N1638" s="899"/>
      <c r="O1638" s="899"/>
      <c r="P1638" s="899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896"/>
      <c r="E1639" s="677"/>
      <c r="F1639" s="677"/>
      <c r="G1639" s="677"/>
      <c r="H1639" s="897"/>
      <c r="I1639" s="898"/>
      <c r="J1639" s="898"/>
      <c r="K1639" s="899"/>
      <c r="L1639" s="899"/>
      <c r="M1639" s="899"/>
      <c r="N1639" s="899"/>
      <c r="O1639" s="899"/>
      <c r="P1639" s="899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896"/>
      <c r="E1640" s="677"/>
      <c r="F1640" s="677"/>
      <c r="G1640" s="677"/>
      <c r="H1640" s="897"/>
      <c r="I1640" s="898"/>
      <c r="J1640" s="898"/>
      <c r="K1640" s="899"/>
      <c r="L1640" s="899"/>
      <c r="M1640" s="899"/>
      <c r="N1640" s="899"/>
      <c r="O1640" s="899"/>
      <c r="P1640" s="899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896"/>
      <c r="E1641" s="677"/>
      <c r="F1641" s="677"/>
      <c r="G1641" s="677"/>
      <c r="H1641" s="897"/>
      <c r="I1641" s="898"/>
      <c r="J1641" s="898"/>
      <c r="K1641" s="899"/>
      <c r="L1641" s="899"/>
      <c r="M1641" s="899"/>
      <c r="N1641" s="899"/>
      <c r="O1641" s="899"/>
      <c r="P1641" s="899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896"/>
      <c r="E1642" s="677"/>
      <c r="F1642" s="677"/>
      <c r="G1642" s="677"/>
      <c r="H1642" s="897"/>
      <c r="I1642" s="898"/>
      <c r="J1642" s="898"/>
      <c r="K1642" s="899"/>
      <c r="L1642" s="899"/>
      <c r="M1642" s="899"/>
      <c r="N1642" s="899"/>
      <c r="O1642" s="899"/>
      <c r="P1642" s="899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896"/>
      <c r="E1643" s="677"/>
      <c r="F1643" s="677"/>
      <c r="G1643" s="677"/>
      <c r="H1643" s="897"/>
      <c r="I1643" s="898"/>
      <c r="J1643" s="898"/>
      <c r="K1643" s="899"/>
      <c r="L1643" s="899"/>
      <c r="M1643" s="899"/>
      <c r="N1643" s="899"/>
      <c r="O1643" s="899"/>
      <c r="P1643" s="899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896"/>
      <c r="E1644" s="677"/>
      <c r="F1644" s="677"/>
      <c r="G1644" s="677"/>
      <c r="H1644" s="897"/>
      <c r="I1644" s="898"/>
      <c r="J1644" s="898"/>
      <c r="K1644" s="899"/>
      <c r="L1644" s="899"/>
      <c r="M1644" s="899"/>
      <c r="N1644" s="899"/>
      <c r="O1644" s="899"/>
      <c r="P1644" s="899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896"/>
      <c r="E1645" s="677"/>
      <c r="F1645" s="677"/>
      <c r="G1645" s="677"/>
      <c r="H1645" s="897"/>
      <c r="I1645" s="898"/>
      <c r="J1645" s="898"/>
      <c r="K1645" s="899"/>
      <c r="L1645" s="899"/>
      <c r="M1645" s="899"/>
      <c r="N1645" s="899"/>
      <c r="O1645" s="899"/>
      <c r="P1645" s="899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896"/>
      <c r="E1646" s="677"/>
      <c r="F1646" s="677"/>
      <c r="G1646" s="677"/>
      <c r="H1646" s="897"/>
      <c r="I1646" s="898"/>
      <c r="J1646" s="898"/>
      <c r="K1646" s="899"/>
      <c r="L1646" s="899"/>
      <c r="M1646" s="899"/>
      <c r="N1646" s="899"/>
      <c r="O1646" s="899"/>
      <c r="P1646" s="899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896"/>
      <c r="E1647" s="677"/>
      <c r="F1647" s="677"/>
      <c r="G1647" s="677"/>
      <c r="H1647" s="897"/>
      <c r="I1647" s="898"/>
      <c r="J1647" s="898"/>
      <c r="K1647" s="899"/>
      <c r="L1647" s="899"/>
      <c r="M1647" s="899"/>
      <c r="N1647" s="899"/>
      <c r="O1647" s="899"/>
      <c r="P1647" s="899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896"/>
      <c r="E1648" s="677"/>
      <c r="F1648" s="677"/>
      <c r="G1648" s="677"/>
      <c r="H1648" s="897"/>
      <c r="I1648" s="898"/>
      <c r="J1648" s="898"/>
      <c r="K1648" s="899"/>
      <c r="L1648" s="899"/>
      <c r="M1648" s="899"/>
      <c r="N1648" s="899"/>
      <c r="O1648" s="899"/>
      <c r="P1648" s="899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896"/>
      <c r="E1649" s="677"/>
      <c r="F1649" s="677"/>
      <c r="G1649" s="677"/>
      <c r="H1649" s="897"/>
      <c r="I1649" s="898"/>
      <c r="J1649" s="898"/>
      <c r="K1649" s="899"/>
      <c r="L1649" s="899"/>
      <c r="M1649" s="899"/>
      <c r="N1649" s="899"/>
      <c r="O1649" s="899"/>
      <c r="P1649" s="899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896"/>
      <c r="E1650" s="677"/>
      <c r="F1650" s="677"/>
      <c r="G1650" s="677"/>
      <c r="H1650" s="897"/>
      <c r="I1650" s="898"/>
      <c r="J1650" s="898"/>
      <c r="K1650" s="899"/>
      <c r="L1650" s="899"/>
      <c r="M1650" s="899"/>
      <c r="N1650" s="899"/>
      <c r="O1650" s="899"/>
      <c r="P1650" s="899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896"/>
      <c r="E1651" s="677"/>
      <c r="F1651" s="677"/>
      <c r="G1651" s="677"/>
      <c r="H1651" s="897"/>
      <c r="I1651" s="898"/>
      <c r="J1651" s="898"/>
      <c r="K1651" s="899"/>
      <c r="L1651" s="899"/>
      <c r="M1651" s="899"/>
      <c r="N1651" s="899"/>
      <c r="O1651" s="899"/>
      <c r="P1651" s="899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896"/>
      <c r="E1652" s="677"/>
      <c r="F1652" s="677"/>
      <c r="G1652" s="677"/>
      <c r="H1652" s="897"/>
      <c r="I1652" s="898"/>
      <c r="J1652" s="898"/>
      <c r="K1652" s="899"/>
      <c r="L1652" s="899"/>
      <c r="M1652" s="899"/>
      <c r="N1652" s="899"/>
      <c r="O1652" s="899"/>
      <c r="P1652" s="899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896"/>
      <c r="E1653" s="677"/>
      <c r="F1653" s="677"/>
      <c r="G1653" s="677"/>
      <c r="H1653" s="897"/>
      <c r="I1653" s="898"/>
      <c r="J1653" s="898"/>
      <c r="K1653" s="899"/>
      <c r="L1653" s="899"/>
      <c r="M1653" s="899"/>
      <c r="N1653" s="899"/>
      <c r="O1653" s="899"/>
      <c r="P1653" s="899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896"/>
      <c r="E1654" s="677"/>
      <c r="F1654" s="677"/>
      <c r="G1654" s="677"/>
      <c r="H1654" s="897"/>
      <c r="I1654" s="898"/>
      <c r="J1654" s="898"/>
      <c r="K1654" s="899"/>
      <c r="L1654" s="899"/>
      <c r="M1654" s="899"/>
      <c r="N1654" s="899"/>
      <c r="O1654" s="899"/>
      <c r="P1654" s="899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896"/>
      <c r="E1655" s="677"/>
      <c r="F1655" s="677"/>
      <c r="G1655" s="677"/>
      <c r="H1655" s="897"/>
      <c r="I1655" s="898"/>
      <c r="J1655" s="898"/>
      <c r="K1655" s="899"/>
      <c r="L1655" s="899"/>
      <c r="M1655" s="899"/>
      <c r="N1655" s="899"/>
      <c r="O1655" s="899"/>
      <c r="P1655" s="899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896"/>
      <c r="E1656" s="677"/>
      <c r="F1656" s="677"/>
      <c r="G1656" s="677"/>
      <c r="H1656" s="897"/>
      <c r="I1656" s="898"/>
      <c r="J1656" s="898"/>
      <c r="K1656" s="899"/>
      <c r="L1656" s="899"/>
      <c r="M1656" s="899"/>
      <c r="N1656" s="899"/>
      <c r="O1656" s="899"/>
      <c r="P1656" s="899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896"/>
      <c r="E1657" s="677"/>
      <c r="F1657" s="677"/>
      <c r="G1657" s="677"/>
      <c r="H1657" s="897"/>
      <c r="I1657" s="898"/>
      <c r="J1657" s="898"/>
      <c r="K1657" s="899"/>
      <c r="L1657" s="899"/>
      <c r="M1657" s="899"/>
      <c r="N1657" s="899"/>
      <c r="O1657" s="899"/>
      <c r="P1657" s="899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896"/>
      <c r="E1658" s="677"/>
      <c r="F1658" s="677"/>
      <c r="G1658" s="677"/>
      <c r="H1658" s="897"/>
      <c r="I1658" s="898"/>
      <c r="J1658" s="898"/>
      <c r="K1658" s="899"/>
      <c r="L1658" s="899"/>
      <c r="M1658" s="899"/>
      <c r="N1658" s="899"/>
      <c r="O1658" s="899"/>
      <c r="P1658" s="899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896"/>
      <c r="E1659" s="677"/>
      <c r="F1659" s="677"/>
      <c r="G1659" s="677"/>
      <c r="H1659" s="897"/>
      <c r="I1659" s="898"/>
      <c r="J1659" s="898"/>
      <c r="K1659" s="899"/>
      <c r="L1659" s="899"/>
      <c r="M1659" s="899"/>
      <c r="N1659" s="899"/>
      <c r="O1659" s="899"/>
      <c r="P1659" s="899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896"/>
      <c r="E1660" s="677"/>
      <c r="F1660" s="677"/>
      <c r="G1660" s="677"/>
      <c r="H1660" s="897"/>
      <c r="I1660" s="898"/>
      <c r="J1660" s="898"/>
      <c r="K1660" s="899"/>
      <c r="L1660" s="899"/>
      <c r="M1660" s="899"/>
      <c r="N1660" s="899"/>
      <c r="O1660" s="899"/>
      <c r="P1660" s="899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896"/>
      <c r="E1661" s="677"/>
      <c r="F1661" s="677"/>
      <c r="G1661" s="677"/>
      <c r="H1661" s="897"/>
      <c r="I1661" s="898"/>
      <c r="J1661" s="898"/>
      <c r="K1661" s="899"/>
      <c r="L1661" s="899"/>
      <c r="M1661" s="899"/>
      <c r="N1661" s="899"/>
      <c r="O1661" s="899"/>
      <c r="P1661" s="899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896"/>
      <c r="E1662" s="677"/>
      <c r="F1662" s="677"/>
      <c r="G1662" s="677"/>
      <c r="H1662" s="897"/>
      <c r="I1662" s="898"/>
      <c r="J1662" s="898"/>
      <c r="K1662" s="899"/>
      <c r="L1662" s="899"/>
      <c r="M1662" s="899"/>
      <c r="N1662" s="899"/>
      <c r="O1662" s="899"/>
      <c r="P1662" s="899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896"/>
      <c r="E1663" s="677"/>
      <c r="F1663" s="677"/>
      <c r="G1663" s="677"/>
      <c r="H1663" s="897"/>
      <c r="I1663" s="898"/>
      <c r="J1663" s="898"/>
      <c r="K1663" s="899"/>
      <c r="L1663" s="899"/>
      <c r="M1663" s="899"/>
      <c r="N1663" s="899"/>
      <c r="O1663" s="899"/>
      <c r="P1663" s="899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896"/>
      <c r="E1664" s="677"/>
      <c r="F1664" s="677"/>
      <c r="G1664" s="677"/>
      <c r="H1664" s="897"/>
      <c r="I1664" s="898"/>
      <c r="J1664" s="898"/>
      <c r="K1664" s="899"/>
      <c r="L1664" s="899"/>
      <c r="M1664" s="899"/>
      <c r="N1664" s="899"/>
      <c r="O1664" s="899"/>
      <c r="P1664" s="899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896"/>
      <c r="E1665" s="677"/>
      <c r="F1665" s="677"/>
      <c r="G1665" s="677"/>
      <c r="H1665" s="897"/>
      <c r="I1665" s="898"/>
      <c r="J1665" s="898"/>
      <c r="K1665" s="899"/>
      <c r="L1665" s="899"/>
      <c r="M1665" s="899"/>
      <c r="N1665" s="899"/>
      <c r="O1665" s="899"/>
      <c r="P1665" s="899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896"/>
      <c r="E1666" s="677"/>
      <c r="F1666" s="677"/>
      <c r="G1666" s="677"/>
      <c r="H1666" s="897"/>
      <c r="I1666" s="898"/>
      <c r="J1666" s="898"/>
      <c r="K1666" s="899"/>
      <c r="L1666" s="899"/>
      <c r="M1666" s="899"/>
      <c r="N1666" s="899"/>
      <c r="O1666" s="899"/>
      <c r="P1666" s="899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896"/>
      <c r="E1667" s="677"/>
      <c r="F1667" s="677"/>
      <c r="G1667" s="677"/>
      <c r="H1667" s="897"/>
      <c r="I1667" s="898"/>
      <c r="J1667" s="898"/>
      <c r="K1667" s="899"/>
      <c r="L1667" s="899"/>
      <c r="M1667" s="899"/>
      <c r="N1667" s="899"/>
      <c r="O1667" s="899"/>
      <c r="P1667" s="899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896"/>
      <c r="E1668" s="677"/>
      <c r="F1668" s="677"/>
      <c r="G1668" s="677"/>
      <c r="H1668" s="897"/>
      <c r="I1668" s="898"/>
      <c r="J1668" s="898"/>
      <c r="K1668" s="899"/>
      <c r="L1668" s="899"/>
      <c r="M1668" s="899"/>
      <c r="N1668" s="899"/>
      <c r="O1668" s="899"/>
      <c r="P1668" s="899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896"/>
      <c r="E1669" s="677"/>
      <c r="F1669" s="677"/>
      <c r="G1669" s="677"/>
      <c r="H1669" s="897"/>
      <c r="I1669" s="898"/>
      <c r="J1669" s="898"/>
      <c r="K1669" s="899"/>
      <c r="L1669" s="899"/>
      <c r="M1669" s="899"/>
      <c r="N1669" s="899"/>
      <c r="O1669" s="899"/>
      <c r="P1669" s="899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896"/>
      <c r="E1670" s="677"/>
      <c r="F1670" s="677"/>
      <c r="G1670" s="677"/>
      <c r="H1670" s="897"/>
      <c r="I1670" s="898"/>
      <c r="J1670" s="898"/>
      <c r="K1670" s="899"/>
      <c r="L1670" s="899"/>
      <c r="M1670" s="899"/>
      <c r="N1670" s="899"/>
      <c r="O1670" s="899"/>
      <c r="P1670" s="899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896"/>
      <c r="E1671" s="677"/>
      <c r="F1671" s="677"/>
      <c r="G1671" s="677"/>
      <c r="H1671" s="897"/>
      <c r="I1671" s="898"/>
      <c r="J1671" s="898"/>
      <c r="K1671" s="899"/>
      <c r="L1671" s="899"/>
      <c r="M1671" s="899"/>
      <c r="N1671" s="899"/>
      <c r="O1671" s="899"/>
      <c r="P1671" s="899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896"/>
      <c r="E1672" s="677"/>
      <c r="F1672" s="677"/>
      <c r="G1672" s="677"/>
      <c r="H1672" s="897"/>
      <c r="I1672" s="898"/>
      <c r="J1672" s="898"/>
      <c r="K1672" s="899"/>
      <c r="L1672" s="899"/>
      <c r="M1672" s="899"/>
      <c r="N1672" s="899"/>
      <c r="O1672" s="899"/>
      <c r="P1672" s="899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896"/>
      <c r="E1673" s="677"/>
      <c r="F1673" s="677"/>
      <c r="G1673" s="677"/>
      <c r="H1673" s="897"/>
      <c r="I1673" s="898"/>
      <c r="J1673" s="898"/>
      <c r="K1673" s="899"/>
      <c r="L1673" s="899"/>
      <c r="M1673" s="899"/>
      <c r="N1673" s="899"/>
      <c r="O1673" s="899"/>
      <c r="P1673" s="899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896"/>
      <c r="E1674" s="677"/>
      <c r="F1674" s="677"/>
      <c r="G1674" s="677"/>
      <c r="H1674" s="897"/>
      <c r="I1674" s="898"/>
      <c r="J1674" s="898"/>
      <c r="K1674" s="899"/>
      <c r="L1674" s="899"/>
      <c r="M1674" s="899"/>
      <c r="N1674" s="899"/>
      <c r="O1674" s="899"/>
      <c r="P1674" s="899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896"/>
      <c r="E1675" s="677"/>
      <c r="F1675" s="677"/>
      <c r="G1675" s="677"/>
      <c r="H1675" s="897"/>
      <c r="I1675" s="898"/>
      <c r="J1675" s="898"/>
      <c r="K1675" s="899"/>
      <c r="L1675" s="899"/>
      <c r="M1675" s="899"/>
      <c r="N1675" s="899"/>
      <c r="O1675" s="899"/>
      <c r="P1675" s="899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896"/>
      <c r="E1676" s="677"/>
      <c r="F1676" s="677"/>
      <c r="G1676" s="677"/>
      <c r="H1676" s="897"/>
      <c r="I1676" s="898"/>
      <c r="J1676" s="898"/>
      <c r="K1676" s="899"/>
      <c r="L1676" s="899"/>
      <c r="M1676" s="899"/>
      <c r="N1676" s="899"/>
      <c r="O1676" s="899"/>
      <c r="P1676" s="899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896"/>
      <c r="E1677" s="677"/>
      <c r="F1677" s="677"/>
      <c r="G1677" s="677"/>
      <c r="H1677" s="897"/>
      <c r="I1677" s="898"/>
      <c r="J1677" s="898"/>
      <c r="K1677" s="899"/>
      <c r="L1677" s="899"/>
      <c r="M1677" s="899"/>
      <c r="N1677" s="899"/>
      <c r="O1677" s="899"/>
      <c r="P1677" s="899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896"/>
      <c r="E1678" s="677"/>
      <c r="F1678" s="677"/>
      <c r="G1678" s="677"/>
      <c r="H1678" s="897"/>
      <c r="I1678" s="898"/>
      <c r="J1678" s="898"/>
      <c r="K1678" s="899"/>
      <c r="L1678" s="899"/>
      <c r="M1678" s="899"/>
      <c r="N1678" s="899"/>
      <c r="O1678" s="899"/>
      <c r="P1678" s="899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896"/>
      <c r="E1679" s="677"/>
      <c r="F1679" s="677"/>
      <c r="G1679" s="677"/>
      <c r="H1679" s="897"/>
      <c r="I1679" s="898"/>
      <c r="J1679" s="898"/>
      <c r="K1679" s="899"/>
      <c r="L1679" s="899"/>
      <c r="M1679" s="899"/>
      <c r="N1679" s="899"/>
      <c r="O1679" s="899"/>
      <c r="P1679" s="899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896"/>
      <c r="E1680" s="677"/>
      <c r="F1680" s="677"/>
      <c r="G1680" s="677"/>
      <c r="H1680" s="897"/>
      <c r="I1680" s="898"/>
      <c r="J1680" s="898"/>
      <c r="K1680" s="899"/>
      <c r="L1680" s="899"/>
      <c r="M1680" s="899"/>
      <c r="N1680" s="899"/>
      <c r="O1680" s="899"/>
      <c r="P1680" s="899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896"/>
      <c r="E1681" s="677"/>
      <c r="F1681" s="677"/>
      <c r="G1681" s="677"/>
      <c r="H1681" s="897"/>
      <c r="I1681" s="898"/>
      <c r="J1681" s="898"/>
      <c r="K1681" s="899"/>
      <c r="L1681" s="899"/>
      <c r="M1681" s="899"/>
      <c r="N1681" s="899"/>
      <c r="O1681" s="899"/>
      <c r="P1681" s="899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896"/>
      <c r="E1682" s="677"/>
      <c r="F1682" s="677"/>
      <c r="G1682" s="677"/>
      <c r="H1682" s="897"/>
      <c r="I1682" s="898"/>
      <c r="J1682" s="898"/>
      <c r="K1682" s="899"/>
      <c r="L1682" s="899"/>
      <c r="M1682" s="899"/>
      <c r="N1682" s="899"/>
      <c r="O1682" s="899"/>
      <c r="P1682" s="899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896"/>
      <c r="E1683" s="677"/>
      <c r="F1683" s="677"/>
      <c r="G1683" s="677"/>
      <c r="H1683" s="897"/>
      <c r="I1683" s="898"/>
      <c r="J1683" s="898"/>
      <c r="K1683" s="899"/>
      <c r="L1683" s="899"/>
      <c r="M1683" s="899"/>
      <c r="N1683" s="899"/>
      <c r="O1683" s="899"/>
      <c r="P1683" s="899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896"/>
      <c r="E1684" s="677"/>
      <c r="F1684" s="677"/>
      <c r="G1684" s="677"/>
      <c r="H1684" s="897"/>
      <c r="I1684" s="898"/>
      <c r="J1684" s="898"/>
      <c r="K1684" s="899"/>
      <c r="L1684" s="899"/>
      <c r="M1684" s="899"/>
      <c r="N1684" s="899"/>
      <c r="O1684" s="899"/>
      <c r="P1684" s="899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896"/>
      <c r="E1685" s="677"/>
      <c r="F1685" s="677"/>
      <c r="G1685" s="677"/>
      <c r="H1685" s="897"/>
      <c r="I1685" s="898"/>
      <c r="J1685" s="898"/>
      <c r="K1685" s="899"/>
      <c r="L1685" s="899"/>
      <c r="M1685" s="899"/>
      <c r="N1685" s="899"/>
      <c r="O1685" s="899"/>
      <c r="P1685" s="899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896"/>
      <c r="E1686" s="677"/>
      <c r="F1686" s="677"/>
      <c r="G1686" s="677"/>
      <c r="H1686" s="897"/>
      <c r="I1686" s="898"/>
      <c r="J1686" s="898"/>
      <c r="K1686" s="899"/>
      <c r="L1686" s="899"/>
      <c r="M1686" s="899"/>
      <c r="N1686" s="899"/>
      <c r="O1686" s="899"/>
      <c r="P1686" s="899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896"/>
      <c r="E1687" s="677"/>
      <c r="F1687" s="677"/>
      <c r="G1687" s="677"/>
      <c r="H1687" s="897"/>
      <c r="I1687" s="898"/>
      <c r="J1687" s="898"/>
      <c r="K1687" s="899"/>
      <c r="L1687" s="899"/>
      <c r="M1687" s="899"/>
      <c r="N1687" s="899"/>
      <c r="O1687" s="899"/>
      <c r="P1687" s="899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896"/>
      <c r="E1688" s="677"/>
      <c r="F1688" s="677"/>
      <c r="G1688" s="677"/>
      <c r="H1688" s="897"/>
      <c r="I1688" s="898"/>
      <c r="J1688" s="898"/>
      <c r="K1688" s="899"/>
      <c r="L1688" s="899"/>
      <c r="M1688" s="899"/>
      <c r="N1688" s="899"/>
      <c r="O1688" s="899"/>
      <c r="P1688" s="899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896"/>
      <c r="E1689" s="677"/>
      <c r="F1689" s="677"/>
      <c r="G1689" s="677"/>
      <c r="H1689" s="897"/>
      <c r="I1689" s="898"/>
      <c r="J1689" s="898"/>
      <c r="K1689" s="899"/>
      <c r="L1689" s="899"/>
      <c r="M1689" s="899"/>
      <c r="N1689" s="899"/>
      <c r="O1689" s="899"/>
      <c r="P1689" s="899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896"/>
      <c r="E1690" s="677"/>
      <c r="F1690" s="677"/>
      <c r="G1690" s="677"/>
      <c r="H1690" s="897"/>
      <c r="I1690" s="898"/>
      <c r="J1690" s="898"/>
      <c r="K1690" s="899"/>
      <c r="L1690" s="899"/>
      <c r="M1690" s="899"/>
      <c r="N1690" s="899"/>
      <c r="O1690" s="899"/>
      <c r="P1690" s="899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896"/>
      <c r="E1691" s="677"/>
      <c r="F1691" s="677"/>
      <c r="G1691" s="677"/>
      <c r="H1691" s="897"/>
      <c r="I1691" s="898"/>
      <c r="J1691" s="898"/>
      <c r="K1691" s="899"/>
      <c r="L1691" s="899"/>
      <c r="M1691" s="899"/>
      <c r="N1691" s="899"/>
      <c r="O1691" s="899"/>
      <c r="P1691" s="899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896"/>
      <c r="E1692" s="677"/>
      <c r="F1692" s="677"/>
      <c r="G1692" s="677"/>
      <c r="H1692" s="897"/>
      <c r="I1692" s="898"/>
      <c r="J1692" s="898"/>
      <c r="K1692" s="899"/>
      <c r="L1692" s="899"/>
      <c r="M1692" s="899"/>
      <c r="N1692" s="899"/>
      <c r="O1692" s="899"/>
      <c r="P1692" s="899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896"/>
      <c r="E1693" s="677"/>
      <c r="F1693" s="677"/>
      <c r="G1693" s="677"/>
      <c r="H1693" s="897"/>
      <c r="I1693" s="898"/>
      <c r="J1693" s="898"/>
      <c r="K1693" s="899"/>
      <c r="L1693" s="899"/>
      <c r="M1693" s="899"/>
      <c r="N1693" s="899"/>
      <c r="O1693" s="899"/>
      <c r="P1693" s="899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896"/>
      <c r="E1694" s="677"/>
      <c r="F1694" s="677"/>
      <c r="G1694" s="677"/>
      <c r="H1694" s="897"/>
      <c r="I1694" s="898"/>
      <c r="J1694" s="898"/>
      <c r="K1694" s="899"/>
      <c r="L1694" s="899"/>
      <c r="M1694" s="899"/>
      <c r="N1694" s="899"/>
      <c r="O1694" s="899"/>
      <c r="P1694" s="899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896"/>
      <c r="E1695" s="677"/>
      <c r="F1695" s="677"/>
      <c r="G1695" s="677"/>
      <c r="H1695" s="897"/>
      <c r="I1695" s="898"/>
      <c r="J1695" s="898"/>
      <c r="K1695" s="899"/>
      <c r="L1695" s="899"/>
      <c r="M1695" s="899"/>
      <c r="N1695" s="899"/>
      <c r="O1695" s="899"/>
      <c r="P1695" s="899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896"/>
      <c r="E1696" s="677"/>
      <c r="F1696" s="677"/>
      <c r="G1696" s="677"/>
      <c r="H1696" s="897"/>
      <c r="I1696" s="898"/>
      <c r="J1696" s="898"/>
      <c r="K1696" s="899"/>
      <c r="L1696" s="899"/>
      <c r="M1696" s="899"/>
      <c r="N1696" s="899"/>
      <c r="O1696" s="899"/>
      <c r="P1696" s="899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896"/>
      <c r="E1697" s="677"/>
      <c r="F1697" s="677"/>
      <c r="G1697" s="677"/>
      <c r="H1697" s="897"/>
      <c r="I1697" s="898"/>
      <c r="J1697" s="898"/>
      <c r="K1697" s="899"/>
      <c r="L1697" s="899"/>
      <c r="M1697" s="899"/>
      <c r="N1697" s="899"/>
      <c r="O1697" s="899"/>
      <c r="P1697" s="899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896"/>
      <c r="E1698" s="677"/>
      <c r="F1698" s="677"/>
      <c r="G1698" s="677"/>
      <c r="H1698" s="897"/>
      <c r="I1698" s="898"/>
      <c r="J1698" s="898"/>
      <c r="K1698" s="899"/>
      <c r="L1698" s="899"/>
      <c r="M1698" s="899"/>
      <c r="N1698" s="899"/>
      <c r="O1698" s="899"/>
      <c r="P1698" s="899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896"/>
      <c r="E1699" s="677"/>
      <c r="F1699" s="677"/>
      <c r="G1699" s="677"/>
      <c r="H1699" s="897"/>
      <c r="I1699" s="898"/>
      <c r="J1699" s="898"/>
      <c r="K1699" s="899"/>
      <c r="L1699" s="899"/>
      <c r="M1699" s="899"/>
      <c r="N1699" s="899"/>
      <c r="O1699" s="899"/>
      <c r="P1699" s="899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896"/>
      <c r="E1700" s="677"/>
      <c r="F1700" s="677"/>
      <c r="G1700" s="677"/>
      <c r="H1700" s="897"/>
      <c r="I1700" s="898"/>
      <c r="J1700" s="898"/>
      <c r="K1700" s="899"/>
      <c r="L1700" s="899"/>
      <c r="M1700" s="899"/>
      <c r="N1700" s="899"/>
      <c r="O1700" s="899"/>
      <c r="P1700" s="899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896"/>
      <c r="E1701" s="677"/>
      <c r="F1701" s="677"/>
      <c r="G1701" s="677"/>
      <c r="H1701" s="897"/>
      <c r="I1701" s="898"/>
      <c r="J1701" s="898"/>
      <c r="K1701" s="899"/>
      <c r="L1701" s="899"/>
      <c r="M1701" s="899"/>
      <c r="N1701" s="899"/>
      <c r="O1701" s="899"/>
      <c r="P1701" s="899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896"/>
      <c r="E1702" s="677"/>
      <c r="F1702" s="677"/>
      <c r="G1702" s="677"/>
      <c r="H1702" s="897"/>
      <c r="I1702" s="898"/>
      <c r="J1702" s="898"/>
      <c r="K1702" s="899"/>
      <c r="L1702" s="899"/>
      <c r="M1702" s="899"/>
      <c r="N1702" s="899"/>
      <c r="O1702" s="899"/>
      <c r="P1702" s="899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896"/>
      <c r="E1703" s="677"/>
      <c r="F1703" s="677"/>
      <c r="G1703" s="677"/>
      <c r="H1703" s="897"/>
      <c r="I1703" s="898"/>
      <c r="J1703" s="898"/>
      <c r="K1703" s="899"/>
      <c r="L1703" s="899"/>
      <c r="M1703" s="899"/>
      <c r="N1703" s="899"/>
      <c r="O1703" s="899"/>
      <c r="P1703" s="899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896"/>
      <c r="E1704" s="677"/>
      <c r="F1704" s="677"/>
      <c r="G1704" s="677"/>
      <c r="H1704" s="897"/>
      <c r="I1704" s="898"/>
      <c r="J1704" s="898"/>
      <c r="K1704" s="899"/>
      <c r="L1704" s="899"/>
      <c r="M1704" s="899"/>
      <c r="N1704" s="899"/>
      <c r="O1704" s="899"/>
      <c r="P1704" s="899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896"/>
      <c r="E1705" s="677"/>
      <c r="F1705" s="677"/>
      <c r="G1705" s="677"/>
      <c r="H1705" s="897"/>
      <c r="I1705" s="898"/>
      <c r="J1705" s="898"/>
      <c r="K1705" s="899"/>
      <c r="L1705" s="899"/>
      <c r="M1705" s="899"/>
      <c r="N1705" s="899"/>
      <c r="O1705" s="899"/>
      <c r="P1705" s="899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896"/>
      <c r="E1706" s="677"/>
      <c r="F1706" s="677"/>
      <c r="G1706" s="677"/>
      <c r="H1706" s="897"/>
      <c r="I1706" s="898"/>
      <c r="J1706" s="898"/>
      <c r="K1706" s="899"/>
      <c r="L1706" s="899"/>
      <c r="M1706" s="899"/>
      <c r="N1706" s="899"/>
      <c r="O1706" s="899"/>
      <c r="P1706" s="899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896"/>
      <c r="E1707" s="677"/>
      <c r="F1707" s="677"/>
      <c r="G1707" s="677"/>
      <c r="H1707" s="897"/>
      <c r="I1707" s="898"/>
      <c r="J1707" s="898"/>
      <c r="K1707" s="899"/>
      <c r="L1707" s="899"/>
      <c r="M1707" s="899"/>
      <c r="N1707" s="899"/>
      <c r="O1707" s="899"/>
      <c r="P1707" s="899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896"/>
      <c r="E1708" s="677"/>
      <c r="F1708" s="677"/>
      <c r="G1708" s="677"/>
      <c r="H1708" s="897"/>
      <c r="I1708" s="898"/>
      <c r="J1708" s="898"/>
      <c r="K1708" s="899"/>
      <c r="L1708" s="899"/>
      <c r="M1708" s="899"/>
      <c r="N1708" s="899"/>
      <c r="O1708" s="899"/>
      <c r="P1708" s="899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896"/>
      <c r="E1709" s="677"/>
      <c r="F1709" s="677"/>
      <c r="G1709" s="677"/>
      <c r="H1709" s="897"/>
      <c r="I1709" s="898"/>
      <c r="J1709" s="898"/>
      <c r="K1709" s="899"/>
      <c r="L1709" s="899"/>
      <c r="M1709" s="899"/>
      <c r="N1709" s="899"/>
      <c r="O1709" s="899"/>
      <c r="P1709" s="899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896"/>
      <c r="E1710" s="677"/>
      <c r="F1710" s="677"/>
      <c r="G1710" s="677"/>
      <c r="H1710" s="897"/>
      <c r="I1710" s="898"/>
      <c r="J1710" s="898"/>
      <c r="K1710" s="899"/>
      <c r="L1710" s="899"/>
      <c r="M1710" s="899"/>
      <c r="N1710" s="899"/>
      <c r="O1710" s="899"/>
      <c r="P1710" s="899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896"/>
      <c r="E1711" s="677"/>
      <c r="F1711" s="677"/>
      <c r="G1711" s="677"/>
      <c r="H1711" s="897"/>
      <c r="I1711" s="898"/>
      <c r="J1711" s="898"/>
      <c r="K1711" s="899"/>
      <c r="L1711" s="899"/>
      <c r="M1711" s="899"/>
      <c r="N1711" s="899"/>
      <c r="O1711" s="899"/>
      <c r="P1711" s="899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896"/>
      <c r="E1712" s="677"/>
      <c r="F1712" s="677"/>
      <c r="G1712" s="677"/>
      <c r="H1712" s="897"/>
      <c r="I1712" s="898"/>
      <c r="J1712" s="898"/>
      <c r="K1712" s="899"/>
      <c r="L1712" s="899"/>
      <c r="M1712" s="899"/>
      <c r="N1712" s="899"/>
      <c r="O1712" s="899"/>
      <c r="P1712" s="899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896"/>
      <c r="E1713" s="677"/>
      <c r="F1713" s="677"/>
      <c r="G1713" s="677"/>
      <c r="H1713" s="897"/>
      <c r="I1713" s="898"/>
      <c r="J1713" s="898"/>
      <c r="K1713" s="899"/>
      <c r="L1713" s="899"/>
      <c r="M1713" s="899"/>
      <c r="N1713" s="899"/>
      <c r="O1713" s="899"/>
      <c r="P1713" s="899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896"/>
      <c r="E1714" s="677"/>
      <c r="F1714" s="677"/>
      <c r="G1714" s="677"/>
      <c r="H1714" s="897"/>
      <c r="I1714" s="898"/>
      <c r="J1714" s="898"/>
      <c r="K1714" s="899"/>
      <c r="L1714" s="899"/>
      <c r="M1714" s="899"/>
      <c r="N1714" s="899"/>
      <c r="O1714" s="899"/>
      <c r="P1714" s="899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896"/>
      <c r="E1715" s="677"/>
      <c r="F1715" s="677"/>
      <c r="G1715" s="677"/>
      <c r="H1715" s="897"/>
      <c r="I1715" s="898"/>
      <c r="J1715" s="898"/>
      <c r="K1715" s="899"/>
      <c r="L1715" s="899"/>
      <c r="M1715" s="899"/>
      <c r="N1715" s="899"/>
      <c r="O1715" s="899"/>
      <c r="P1715" s="899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896"/>
      <c r="E1716" s="677"/>
      <c r="F1716" s="677"/>
      <c r="G1716" s="677"/>
      <c r="H1716" s="897"/>
      <c r="I1716" s="898"/>
      <c r="J1716" s="898"/>
      <c r="K1716" s="899"/>
      <c r="L1716" s="899"/>
      <c r="M1716" s="899"/>
      <c r="N1716" s="899"/>
      <c r="O1716" s="899"/>
      <c r="P1716" s="899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896"/>
      <c r="E1717" s="677"/>
      <c r="F1717" s="677"/>
      <c r="G1717" s="677"/>
      <c r="H1717" s="897"/>
      <c r="I1717" s="898"/>
      <c r="J1717" s="898"/>
      <c r="K1717" s="899"/>
      <c r="L1717" s="899"/>
      <c r="M1717" s="899"/>
      <c r="N1717" s="899"/>
      <c r="O1717" s="899"/>
      <c r="P1717" s="899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896"/>
      <c r="E1718" s="677"/>
      <c r="F1718" s="677"/>
      <c r="G1718" s="677"/>
      <c r="H1718" s="897"/>
      <c r="I1718" s="898"/>
      <c r="J1718" s="898"/>
      <c r="K1718" s="899"/>
      <c r="L1718" s="899"/>
      <c r="M1718" s="899"/>
      <c r="N1718" s="899"/>
      <c r="O1718" s="899"/>
      <c r="P1718" s="899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896"/>
      <c r="E1719" s="677"/>
      <c r="F1719" s="677"/>
      <c r="G1719" s="677"/>
      <c r="H1719" s="897"/>
      <c r="I1719" s="898"/>
      <c r="J1719" s="898"/>
      <c r="K1719" s="899"/>
      <c r="L1719" s="899"/>
      <c r="M1719" s="899"/>
      <c r="N1719" s="899"/>
      <c r="O1719" s="899"/>
      <c r="P1719" s="899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896"/>
      <c r="E1720" s="677"/>
      <c r="F1720" s="677"/>
      <c r="G1720" s="677"/>
      <c r="H1720" s="897"/>
      <c r="I1720" s="898"/>
      <c r="J1720" s="898"/>
      <c r="K1720" s="899"/>
      <c r="L1720" s="899"/>
      <c r="M1720" s="899"/>
      <c r="N1720" s="899"/>
      <c r="O1720" s="899"/>
      <c r="P1720" s="899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896"/>
      <c r="E1721" s="677"/>
      <c r="F1721" s="677"/>
      <c r="G1721" s="677"/>
      <c r="H1721" s="897"/>
      <c r="I1721" s="898"/>
      <c r="J1721" s="898"/>
      <c r="K1721" s="899"/>
      <c r="L1721" s="899"/>
      <c r="M1721" s="899"/>
      <c r="N1721" s="899"/>
      <c r="O1721" s="899"/>
      <c r="P1721" s="899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896"/>
      <c r="E1722" s="677"/>
      <c r="F1722" s="677"/>
      <c r="G1722" s="677"/>
      <c r="H1722" s="897"/>
      <c r="I1722" s="898"/>
      <c r="J1722" s="898"/>
      <c r="K1722" s="899"/>
      <c r="L1722" s="899"/>
      <c r="M1722" s="899"/>
      <c r="N1722" s="899"/>
      <c r="O1722" s="899"/>
      <c r="P1722" s="899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896"/>
      <c r="E1723" s="677"/>
      <c r="F1723" s="677"/>
      <c r="G1723" s="677"/>
      <c r="H1723" s="897"/>
      <c r="I1723" s="898"/>
      <c r="J1723" s="898"/>
      <c r="K1723" s="899"/>
      <c r="L1723" s="899"/>
      <c r="M1723" s="899"/>
      <c r="N1723" s="899"/>
      <c r="O1723" s="899"/>
      <c r="P1723" s="899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896"/>
      <c r="E1724" s="677"/>
      <c r="F1724" s="677"/>
      <c r="G1724" s="677"/>
      <c r="H1724" s="897"/>
      <c r="I1724" s="898"/>
      <c r="J1724" s="898"/>
      <c r="K1724" s="899"/>
      <c r="L1724" s="899"/>
      <c r="M1724" s="899"/>
      <c r="N1724" s="899"/>
      <c r="O1724" s="899"/>
      <c r="P1724" s="899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896"/>
      <c r="E1725" s="677"/>
      <c r="F1725" s="677"/>
      <c r="G1725" s="677"/>
      <c r="H1725" s="897"/>
      <c r="I1725" s="898"/>
      <c r="J1725" s="898"/>
      <c r="K1725" s="899"/>
      <c r="L1725" s="899"/>
      <c r="M1725" s="899"/>
      <c r="N1725" s="899"/>
      <c r="O1725" s="899"/>
      <c r="P1725" s="899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896"/>
      <c r="E1726" s="677"/>
      <c r="F1726" s="677"/>
      <c r="G1726" s="677"/>
      <c r="H1726" s="897"/>
      <c r="I1726" s="898"/>
      <c r="J1726" s="898"/>
      <c r="K1726" s="899"/>
      <c r="L1726" s="899"/>
      <c r="M1726" s="899"/>
      <c r="N1726" s="899"/>
      <c r="O1726" s="899"/>
      <c r="P1726" s="899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896"/>
      <c r="E1727" s="677"/>
      <c r="F1727" s="677"/>
      <c r="G1727" s="677"/>
      <c r="H1727" s="897"/>
      <c r="I1727" s="898"/>
      <c r="J1727" s="898"/>
      <c r="K1727" s="899"/>
      <c r="L1727" s="899"/>
      <c r="M1727" s="899"/>
      <c r="N1727" s="899"/>
      <c r="O1727" s="899"/>
      <c r="P1727" s="899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896"/>
      <c r="E1728" s="677"/>
      <c r="F1728" s="677"/>
      <c r="G1728" s="677"/>
      <c r="H1728" s="897"/>
      <c r="I1728" s="898"/>
      <c r="J1728" s="898"/>
      <c r="K1728" s="899"/>
      <c r="L1728" s="899"/>
      <c r="M1728" s="899"/>
      <c r="N1728" s="899"/>
      <c r="O1728" s="899"/>
      <c r="P1728" s="899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896"/>
      <c r="E1729" s="677"/>
      <c r="F1729" s="677"/>
      <c r="G1729" s="677"/>
      <c r="H1729" s="897"/>
      <c r="I1729" s="898"/>
      <c r="J1729" s="898"/>
      <c r="K1729" s="899"/>
      <c r="L1729" s="899"/>
      <c r="M1729" s="899"/>
      <c r="N1729" s="899"/>
      <c r="O1729" s="899"/>
      <c r="P1729" s="899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896"/>
      <c r="E1730" s="677"/>
      <c r="F1730" s="677"/>
      <c r="G1730" s="677"/>
      <c r="H1730" s="897"/>
      <c r="I1730" s="898"/>
      <c r="J1730" s="898"/>
      <c r="K1730" s="899"/>
      <c r="L1730" s="899"/>
      <c r="M1730" s="899"/>
      <c r="N1730" s="899"/>
      <c r="O1730" s="899"/>
      <c r="P1730" s="899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896"/>
      <c r="E1731" s="677"/>
      <c r="F1731" s="677"/>
      <c r="G1731" s="677"/>
      <c r="H1731" s="897"/>
      <c r="I1731" s="898"/>
      <c r="J1731" s="898"/>
      <c r="K1731" s="899"/>
      <c r="L1731" s="899"/>
      <c r="M1731" s="899"/>
      <c r="N1731" s="899"/>
      <c r="O1731" s="899"/>
      <c r="P1731" s="899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896"/>
      <c r="E1732" s="677"/>
      <c r="F1732" s="677"/>
      <c r="G1732" s="677"/>
      <c r="H1732" s="897"/>
      <c r="I1732" s="898"/>
      <c r="J1732" s="898"/>
      <c r="K1732" s="899"/>
      <c r="L1732" s="899"/>
      <c r="M1732" s="899"/>
      <c r="N1732" s="899"/>
      <c r="O1732" s="899"/>
      <c r="P1732" s="899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896"/>
      <c r="E1733" s="677"/>
      <c r="F1733" s="677"/>
      <c r="G1733" s="677"/>
      <c r="H1733" s="897"/>
      <c r="I1733" s="898"/>
      <c r="J1733" s="898"/>
      <c r="K1733" s="899"/>
      <c r="L1733" s="899"/>
      <c r="M1733" s="899"/>
      <c r="N1733" s="899"/>
      <c r="O1733" s="899"/>
      <c r="P1733" s="899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896"/>
      <c r="E1734" s="677"/>
      <c r="F1734" s="677"/>
      <c r="G1734" s="677"/>
      <c r="H1734" s="897"/>
      <c r="I1734" s="898"/>
      <c r="J1734" s="898"/>
      <c r="K1734" s="899"/>
      <c r="L1734" s="899"/>
      <c r="M1734" s="899"/>
      <c r="N1734" s="899"/>
      <c r="O1734" s="899"/>
      <c r="P1734" s="899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896"/>
      <c r="E1735" s="677"/>
      <c r="F1735" s="677"/>
      <c r="G1735" s="677"/>
      <c r="H1735" s="897"/>
      <c r="I1735" s="898"/>
      <c r="J1735" s="898"/>
      <c r="K1735" s="899"/>
      <c r="L1735" s="899"/>
      <c r="M1735" s="899"/>
      <c r="N1735" s="899"/>
      <c r="O1735" s="899"/>
      <c r="P1735" s="899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896"/>
      <c r="E1736" s="677"/>
      <c r="F1736" s="677"/>
      <c r="G1736" s="677"/>
      <c r="H1736" s="897"/>
      <c r="I1736" s="898"/>
      <c r="J1736" s="898"/>
      <c r="K1736" s="899"/>
      <c r="L1736" s="899"/>
      <c r="M1736" s="899"/>
      <c r="N1736" s="899"/>
      <c r="O1736" s="899"/>
      <c r="P1736" s="899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896"/>
      <c r="E1737" s="677"/>
      <c r="F1737" s="677"/>
      <c r="G1737" s="677"/>
      <c r="H1737" s="897"/>
      <c r="I1737" s="898"/>
      <c r="J1737" s="898"/>
      <c r="K1737" s="899"/>
      <c r="L1737" s="899"/>
      <c r="M1737" s="899"/>
      <c r="N1737" s="899"/>
      <c r="O1737" s="899"/>
      <c r="P1737" s="899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896"/>
      <c r="E1738" s="677"/>
      <c r="F1738" s="677"/>
      <c r="G1738" s="677"/>
      <c r="H1738" s="897"/>
      <c r="I1738" s="898"/>
      <c r="J1738" s="898"/>
      <c r="K1738" s="899"/>
      <c r="L1738" s="899"/>
      <c r="M1738" s="899"/>
      <c r="N1738" s="899"/>
      <c r="O1738" s="899"/>
      <c r="P1738" s="899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896"/>
      <c r="E1739" s="677"/>
      <c r="F1739" s="677"/>
      <c r="G1739" s="677"/>
      <c r="H1739" s="897"/>
      <c r="I1739" s="898"/>
      <c r="J1739" s="898"/>
      <c r="K1739" s="899"/>
      <c r="L1739" s="899"/>
      <c r="M1739" s="899"/>
      <c r="N1739" s="899"/>
      <c r="O1739" s="899"/>
      <c r="P1739" s="899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896"/>
      <c r="E1740" s="677"/>
      <c r="F1740" s="677"/>
      <c r="G1740" s="677"/>
      <c r="H1740" s="897"/>
      <c r="I1740" s="898"/>
      <c r="J1740" s="898"/>
      <c r="K1740" s="899"/>
      <c r="L1740" s="899"/>
      <c r="M1740" s="899"/>
      <c r="N1740" s="899"/>
      <c r="O1740" s="899"/>
      <c r="P1740" s="899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896"/>
      <c r="E1741" s="677"/>
      <c r="F1741" s="677"/>
      <c r="G1741" s="677"/>
      <c r="H1741" s="897"/>
      <c r="I1741" s="898"/>
      <c r="J1741" s="898"/>
      <c r="K1741" s="899"/>
      <c r="L1741" s="899"/>
      <c r="M1741" s="899"/>
      <c r="N1741" s="899"/>
      <c r="O1741" s="899"/>
      <c r="P1741" s="899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896"/>
      <c r="E1742" s="677"/>
      <c r="F1742" s="677"/>
      <c r="G1742" s="677"/>
      <c r="H1742" s="897"/>
      <c r="I1742" s="898"/>
      <c r="J1742" s="898"/>
      <c r="K1742" s="899"/>
      <c r="L1742" s="899"/>
      <c r="M1742" s="899"/>
      <c r="N1742" s="899"/>
      <c r="O1742" s="899"/>
      <c r="P1742" s="899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896"/>
      <c r="E1743" s="677"/>
      <c r="F1743" s="677"/>
      <c r="G1743" s="677"/>
      <c r="H1743" s="897"/>
      <c r="I1743" s="898"/>
      <c r="J1743" s="898"/>
      <c r="K1743" s="899"/>
      <c r="L1743" s="899"/>
      <c r="M1743" s="899"/>
      <c r="N1743" s="899"/>
      <c r="O1743" s="899"/>
      <c r="P1743" s="899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896"/>
      <c r="E1744" s="677"/>
      <c r="F1744" s="677"/>
      <c r="G1744" s="677"/>
      <c r="H1744" s="897"/>
      <c r="I1744" s="898"/>
      <c r="J1744" s="898"/>
      <c r="K1744" s="899"/>
      <c r="L1744" s="899"/>
      <c r="M1744" s="899"/>
      <c r="N1744" s="899"/>
      <c r="O1744" s="899"/>
      <c r="P1744" s="899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896"/>
      <c r="E1745" s="677"/>
      <c r="F1745" s="677"/>
      <c r="G1745" s="677"/>
      <c r="H1745" s="897"/>
      <c r="I1745" s="898"/>
      <c r="J1745" s="898"/>
      <c r="K1745" s="899"/>
      <c r="L1745" s="899"/>
      <c r="M1745" s="899"/>
      <c r="N1745" s="899"/>
      <c r="O1745" s="899"/>
      <c r="P1745" s="899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896"/>
      <c r="E1746" s="677"/>
      <c r="F1746" s="677"/>
      <c r="G1746" s="677"/>
      <c r="H1746" s="897"/>
      <c r="I1746" s="898"/>
      <c r="J1746" s="898"/>
      <c r="K1746" s="899"/>
      <c r="L1746" s="899"/>
      <c r="M1746" s="899"/>
      <c r="N1746" s="899"/>
      <c r="O1746" s="899"/>
      <c r="P1746" s="899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896"/>
      <c r="E1747" s="677"/>
      <c r="F1747" s="677"/>
      <c r="G1747" s="677"/>
      <c r="H1747" s="897"/>
      <c r="I1747" s="898"/>
      <c r="J1747" s="898"/>
      <c r="K1747" s="899"/>
      <c r="L1747" s="899"/>
      <c r="M1747" s="899"/>
      <c r="N1747" s="899"/>
      <c r="O1747" s="899"/>
      <c r="P1747" s="899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896"/>
      <c r="E1748" s="677"/>
      <c r="F1748" s="677"/>
      <c r="G1748" s="677"/>
      <c r="H1748" s="897"/>
      <c r="I1748" s="898"/>
      <c r="J1748" s="898"/>
      <c r="K1748" s="899"/>
      <c r="L1748" s="899"/>
      <c r="M1748" s="899"/>
      <c r="N1748" s="899"/>
      <c r="O1748" s="899"/>
      <c r="P1748" s="899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896"/>
      <c r="E1749" s="677"/>
      <c r="F1749" s="677"/>
      <c r="G1749" s="677"/>
      <c r="H1749" s="897"/>
      <c r="I1749" s="898"/>
      <c r="J1749" s="898"/>
      <c r="K1749" s="899"/>
      <c r="L1749" s="899"/>
      <c r="M1749" s="899"/>
      <c r="N1749" s="899"/>
      <c r="O1749" s="899"/>
      <c r="P1749" s="899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896"/>
      <c r="E1750" s="677"/>
      <c r="F1750" s="677"/>
      <c r="G1750" s="677"/>
      <c r="H1750" s="897"/>
      <c r="I1750" s="898"/>
      <c r="J1750" s="898"/>
      <c r="K1750" s="899"/>
      <c r="L1750" s="899"/>
      <c r="M1750" s="899"/>
      <c r="N1750" s="899"/>
      <c r="O1750" s="899"/>
      <c r="P1750" s="899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896"/>
      <c r="E1751" s="677"/>
      <c r="F1751" s="677"/>
      <c r="G1751" s="677"/>
      <c r="H1751" s="897"/>
      <c r="I1751" s="898"/>
      <c r="J1751" s="898"/>
      <c r="K1751" s="899"/>
      <c r="L1751" s="899"/>
      <c r="M1751" s="899"/>
      <c r="N1751" s="899"/>
      <c r="O1751" s="899"/>
      <c r="P1751" s="899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896"/>
      <c r="E1752" s="677"/>
      <c r="F1752" s="677"/>
      <c r="G1752" s="677"/>
      <c r="H1752" s="897"/>
      <c r="I1752" s="898"/>
      <c r="J1752" s="898"/>
      <c r="K1752" s="899"/>
      <c r="L1752" s="899"/>
      <c r="M1752" s="899"/>
      <c r="N1752" s="899"/>
      <c r="O1752" s="899"/>
      <c r="P1752" s="899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896"/>
      <c r="E1753" s="677"/>
      <c r="F1753" s="677"/>
      <c r="G1753" s="677"/>
      <c r="H1753" s="897"/>
      <c r="I1753" s="898"/>
      <c r="J1753" s="898"/>
      <c r="K1753" s="899"/>
      <c r="L1753" s="899"/>
      <c r="M1753" s="899"/>
      <c r="N1753" s="899"/>
      <c r="O1753" s="899"/>
      <c r="P1753" s="899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896"/>
      <c r="E1754" s="677"/>
      <c r="F1754" s="677"/>
      <c r="G1754" s="677"/>
      <c r="H1754" s="897"/>
      <c r="I1754" s="898"/>
      <c r="J1754" s="898"/>
      <c r="K1754" s="899"/>
      <c r="L1754" s="899"/>
      <c r="M1754" s="899"/>
      <c r="N1754" s="899"/>
      <c r="O1754" s="899"/>
      <c r="P1754" s="899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896"/>
      <c r="E1755" s="677"/>
      <c r="F1755" s="677"/>
      <c r="G1755" s="677"/>
      <c r="H1755" s="897"/>
      <c r="I1755" s="898"/>
      <c r="J1755" s="898"/>
      <c r="K1755" s="899"/>
      <c r="L1755" s="899"/>
      <c r="M1755" s="899"/>
      <c r="N1755" s="899"/>
      <c r="O1755" s="899"/>
      <c r="P1755" s="899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896"/>
      <c r="E1756" s="677"/>
      <c r="F1756" s="677"/>
      <c r="G1756" s="677"/>
      <c r="H1756" s="897"/>
      <c r="I1756" s="898"/>
      <c r="J1756" s="898"/>
      <c r="K1756" s="899"/>
      <c r="L1756" s="899"/>
      <c r="M1756" s="899"/>
      <c r="N1756" s="899"/>
      <c r="O1756" s="899"/>
      <c r="P1756" s="899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896"/>
      <c r="E1757" s="677"/>
      <c r="F1757" s="677"/>
      <c r="G1757" s="677"/>
      <c r="H1757" s="897"/>
      <c r="I1757" s="898"/>
      <c r="J1757" s="898"/>
      <c r="K1757" s="899"/>
      <c r="L1757" s="899"/>
      <c r="M1757" s="899"/>
      <c r="N1757" s="899"/>
      <c r="O1757" s="899"/>
      <c r="P1757" s="899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896"/>
      <c r="E1758" s="677"/>
      <c r="F1758" s="677"/>
      <c r="G1758" s="677"/>
      <c r="H1758" s="897"/>
      <c r="I1758" s="898"/>
      <c r="J1758" s="898"/>
      <c r="K1758" s="899"/>
      <c r="L1758" s="899"/>
      <c r="M1758" s="899"/>
      <c r="N1758" s="899"/>
      <c r="O1758" s="899"/>
      <c r="P1758" s="899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896"/>
      <c r="E1759" s="677"/>
      <c r="F1759" s="677"/>
      <c r="G1759" s="677"/>
      <c r="H1759" s="897"/>
      <c r="I1759" s="898"/>
      <c r="J1759" s="898"/>
      <c r="K1759" s="899"/>
      <c r="L1759" s="899"/>
      <c r="M1759" s="899"/>
      <c r="N1759" s="899"/>
      <c r="O1759" s="899"/>
      <c r="P1759" s="899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896"/>
      <c r="E1760" s="677"/>
      <c r="F1760" s="677"/>
      <c r="G1760" s="677"/>
      <c r="H1760" s="897"/>
      <c r="I1760" s="898"/>
      <c r="J1760" s="898"/>
      <c r="K1760" s="899"/>
      <c r="L1760" s="899"/>
      <c r="M1760" s="899"/>
      <c r="N1760" s="899"/>
      <c r="O1760" s="899"/>
      <c r="P1760" s="899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896"/>
      <c r="E1761" s="677"/>
      <c r="F1761" s="677"/>
      <c r="G1761" s="677"/>
      <c r="H1761" s="897"/>
      <c r="I1761" s="898"/>
      <c r="J1761" s="898"/>
      <c r="K1761" s="899"/>
      <c r="L1761" s="899"/>
      <c r="M1761" s="899"/>
      <c r="N1761" s="899"/>
      <c r="O1761" s="899"/>
      <c r="P1761" s="899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896"/>
      <c r="E1762" s="677"/>
      <c r="F1762" s="677"/>
      <c r="G1762" s="677"/>
      <c r="H1762" s="897"/>
      <c r="I1762" s="898"/>
      <c r="J1762" s="898"/>
      <c r="K1762" s="899"/>
      <c r="L1762" s="899"/>
      <c r="M1762" s="899"/>
      <c r="N1762" s="899"/>
      <c r="O1762" s="899"/>
      <c r="P1762" s="899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896"/>
      <c r="E1763" s="677"/>
      <c r="F1763" s="677"/>
      <c r="G1763" s="677"/>
      <c r="H1763" s="897"/>
      <c r="I1763" s="898"/>
      <c r="J1763" s="898"/>
      <c r="K1763" s="899"/>
      <c r="L1763" s="899"/>
      <c r="M1763" s="899"/>
      <c r="N1763" s="899"/>
      <c r="O1763" s="899"/>
      <c r="P1763" s="899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896"/>
      <c r="E1764" s="677"/>
      <c r="F1764" s="677"/>
      <c r="G1764" s="677"/>
      <c r="H1764" s="897"/>
      <c r="I1764" s="898"/>
      <c r="J1764" s="898"/>
      <c r="K1764" s="899"/>
      <c r="L1764" s="899"/>
      <c r="M1764" s="899"/>
      <c r="N1764" s="899"/>
      <c r="O1764" s="899"/>
      <c r="P1764" s="899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896"/>
      <c r="E1765" s="677"/>
      <c r="F1765" s="677"/>
      <c r="G1765" s="677"/>
      <c r="H1765" s="897"/>
      <c r="I1765" s="898"/>
      <c r="J1765" s="898"/>
      <c r="K1765" s="899"/>
      <c r="L1765" s="899"/>
      <c r="M1765" s="899"/>
      <c r="N1765" s="899"/>
      <c r="O1765" s="899"/>
      <c r="P1765" s="899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896"/>
      <c r="E1766" s="677"/>
      <c r="F1766" s="677"/>
      <c r="G1766" s="677"/>
      <c r="H1766" s="897"/>
      <c r="I1766" s="898"/>
      <c r="J1766" s="898"/>
      <c r="K1766" s="899"/>
      <c r="L1766" s="899"/>
      <c r="M1766" s="899"/>
      <c r="N1766" s="899"/>
      <c r="O1766" s="899"/>
      <c r="P1766" s="899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896"/>
      <c r="E1767" s="677"/>
      <c r="F1767" s="677"/>
      <c r="G1767" s="677"/>
      <c r="H1767" s="897"/>
      <c r="I1767" s="898"/>
      <c r="J1767" s="898"/>
      <c r="K1767" s="899"/>
      <c r="L1767" s="899"/>
      <c r="M1767" s="899"/>
      <c r="N1767" s="899"/>
      <c r="O1767" s="899"/>
      <c r="P1767" s="899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896"/>
      <c r="E1768" s="677"/>
      <c r="F1768" s="677"/>
      <c r="G1768" s="677"/>
      <c r="H1768" s="897"/>
      <c r="I1768" s="898"/>
      <c r="J1768" s="898"/>
      <c r="K1768" s="899"/>
      <c r="L1768" s="899"/>
      <c r="M1768" s="899"/>
      <c r="N1768" s="899"/>
      <c r="O1768" s="899"/>
      <c r="P1768" s="899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896"/>
      <c r="E1769" s="677"/>
      <c r="F1769" s="677"/>
      <c r="G1769" s="677"/>
      <c r="H1769" s="897"/>
      <c r="I1769" s="898"/>
      <c r="J1769" s="898"/>
      <c r="K1769" s="899"/>
      <c r="L1769" s="899"/>
      <c r="M1769" s="899"/>
      <c r="N1769" s="899"/>
      <c r="O1769" s="899"/>
      <c r="P1769" s="899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896"/>
      <c r="E1770" s="677"/>
      <c r="F1770" s="677"/>
      <c r="G1770" s="677"/>
      <c r="H1770" s="897"/>
      <c r="I1770" s="898"/>
      <c r="J1770" s="898"/>
      <c r="K1770" s="899"/>
      <c r="L1770" s="899"/>
      <c r="M1770" s="899"/>
      <c r="N1770" s="899"/>
      <c r="O1770" s="899"/>
      <c r="P1770" s="899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896"/>
      <c r="E1771" s="677"/>
      <c r="F1771" s="677"/>
      <c r="G1771" s="677"/>
      <c r="H1771" s="897"/>
      <c r="I1771" s="898"/>
      <c r="J1771" s="898"/>
      <c r="K1771" s="899"/>
      <c r="L1771" s="899"/>
      <c r="M1771" s="899"/>
      <c r="N1771" s="899"/>
      <c r="O1771" s="899"/>
      <c r="P1771" s="899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896"/>
      <c r="E1772" s="677"/>
      <c r="F1772" s="677"/>
      <c r="G1772" s="677"/>
      <c r="H1772" s="897"/>
      <c r="I1772" s="898"/>
      <c r="J1772" s="898"/>
      <c r="K1772" s="899"/>
      <c r="L1772" s="899"/>
      <c r="M1772" s="899"/>
      <c r="N1772" s="899"/>
      <c r="O1772" s="899"/>
      <c r="P1772" s="899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896"/>
      <c r="E1773" s="677"/>
      <c r="F1773" s="677"/>
      <c r="G1773" s="677"/>
      <c r="H1773" s="897"/>
      <c r="I1773" s="898"/>
      <c r="J1773" s="898"/>
      <c r="K1773" s="899"/>
      <c r="L1773" s="899"/>
      <c r="M1773" s="899"/>
      <c r="N1773" s="899"/>
      <c r="O1773" s="899"/>
      <c r="P1773" s="899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896"/>
      <c r="E1774" s="677"/>
      <c r="F1774" s="677"/>
      <c r="G1774" s="677"/>
      <c r="H1774" s="897"/>
      <c r="I1774" s="898"/>
      <c r="J1774" s="898"/>
      <c r="K1774" s="899"/>
      <c r="L1774" s="899"/>
      <c r="M1774" s="899"/>
      <c r="N1774" s="899"/>
      <c r="O1774" s="899"/>
      <c r="P1774" s="899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896"/>
      <c r="E1775" s="677"/>
      <c r="F1775" s="677"/>
      <c r="G1775" s="677"/>
      <c r="H1775" s="897"/>
      <c r="I1775" s="898"/>
      <c r="J1775" s="898"/>
      <c r="K1775" s="899"/>
      <c r="L1775" s="899"/>
      <c r="M1775" s="899"/>
      <c r="N1775" s="899"/>
      <c r="O1775" s="899"/>
      <c r="P1775" s="899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896"/>
      <c r="E1776" s="677"/>
      <c r="F1776" s="677"/>
      <c r="G1776" s="677"/>
      <c r="H1776" s="897"/>
      <c r="I1776" s="898"/>
      <c r="J1776" s="898"/>
      <c r="K1776" s="899"/>
      <c r="L1776" s="899"/>
      <c r="M1776" s="899"/>
      <c r="N1776" s="899"/>
      <c r="O1776" s="899"/>
      <c r="P1776" s="899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896"/>
      <c r="E1777" s="677"/>
      <c r="F1777" s="677"/>
      <c r="G1777" s="677"/>
      <c r="H1777" s="897"/>
      <c r="I1777" s="898"/>
      <c r="J1777" s="898"/>
      <c r="K1777" s="899"/>
      <c r="L1777" s="899"/>
      <c r="M1777" s="899"/>
      <c r="N1777" s="899"/>
      <c r="O1777" s="899"/>
      <c r="P1777" s="899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896"/>
      <c r="E1778" s="677"/>
      <c r="F1778" s="677"/>
      <c r="G1778" s="677"/>
      <c r="H1778" s="897"/>
      <c r="I1778" s="898"/>
      <c r="J1778" s="898"/>
      <c r="K1778" s="899"/>
      <c r="L1778" s="899"/>
      <c r="M1778" s="899"/>
      <c r="N1778" s="899"/>
      <c r="O1778" s="899"/>
      <c r="P1778" s="899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896"/>
      <c r="E1779" s="677"/>
      <c r="F1779" s="677"/>
      <c r="G1779" s="677"/>
      <c r="H1779" s="897"/>
      <c r="I1779" s="898"/>
      <c r="J1779" s="898"/>
      <c r="K1779" s="899"/>
      <c r="L1779" s="899"/>
      <c r="M1779" s="899"/>
      <c r="N1779" s="899"/>
      <c r="O1779" s="899"/>
      <c r="P1779" s="899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896"/>
      <c r="E1780" s="677"/>
      <c r="F1780" s="677"/>
      <c r="G1780" s="677"/>
      <c r="H1780" s="897"/>
      <c r="I1780" s="898"/>
      <c r="J1780" s="898"/>
      <c r="K1780" s="899"/>
      <c r="L1780" s="899"/>
      <c r="M1780" s="899"/>
      <c r="N1780" s="899"/>
      <c r="O1780" s="899"/>
      <c r="P1780" s="899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896"/>
      <c r="E1781" s="677"/>
      <c r="F1781" s="677"/>
      <c r="G1781" s="677"/>
      <c r="H1781" s="897"/>
      <c r="I1781" s="898"/>
      <c r="J1781" s="898"/>
      <c r="K1781" s="899"/>
      <c r="L1781" s="899"/>
      <c r="M1781" s="899"/>
      <c r="N1781" s="899"/>
      <c r="O1781" s="899"/>
      <c r="P1781" s="899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896"/>
      <c r="E1782" s="677"/>
      <c r="F1782" s="677"/>
      <c r="G1782" s="677"/>
      <c r="H1782" s="897"/>
      <c r="I1782" s="898"/>
      <c r="J1782" s="898"/>
      <c r="K1782" s="899"/>
      <c r="L1782" s="899"/>
      <c r="M1782" s="899"/>
      <c r="N1782" s="899"/>
      <c r="O1782" s="899"/>
      <c r="P1782" s="899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896"/>
      <c r="E1783" s="677"/>
      <c r="F1783" s="677"/>
      <c r="G1783" s="677"/>
      <c r="H1783" s="897"/>
      <c r="I1783" s="898"/>
      <c r="J1783" s="898"/>
      <c r="K1783" s="899"/>
      <c r="L1783" s="899"/>
      <c r="M1783" s="899"/>
      <c r="N1783" s="899"/>
      <c r="O1783" s="899"/>
      <c r="P1783" s="899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896"/>
      <c r="E1784" s="677"/>
      <c r="F1784" s="677"/>
      <c r="G1784" s="677"/>
      <c r="H1784" s="897"/>
      <c r="I1784" s="898"/>
      <c r="J1784" s="898"/>
      <c r="K1784" s="899"/>
      <c r="L1784" s="899"/>
      <c r="M1784" s="899"/>
      <c r="N1784" s="899"/>
      <c r="O1784" s="899"/>
      <c r="P1784" s="899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896"/>
      <c r="E1785" s="677"/>
      <c r="F1785" s="677"/>
      <c r="G1785" s="677"/>
      <c r="H1785" s="897"/>
      <c r="I1785" s="898"/>
      <c r="J1785" s="898"/>
      <c r="K1785" s="899"/>
      <c r="L1785" s="899"/>
      <c r="M1785" s="899"/>
      <c r="N1785" s="899"/>
      <c r="O1785" s="899"/>
      <c r="P1785" s="899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896"/>
      <c r="E1786" s="677"/>
      <c r="F1786" s="677"/>
      <c r="G1786" s="677"/>
      <c r="H1786" s="897"/>
      <c r="I1786" s="898"/>
      <c r="J1786" s="898"/>
      <c r="K1786" s="899"/>
      <c r="L1786" s="899"/>
      <c r="M1786" s="899"/>
      <c r="N1786" s="899"/>
      <c r="O1786" s="899"/>
      <c r="P1786" s="899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896"/>
      <c r="E1787" s="677"/>
      <c r="F1787" s="677"/>
      <c r="G1787" s="677"/>
      <c r="H1787" s="897"/>
      <c r="I1787" s="898"/>
      <c r="J1787" s="898"/>
      <c r="K1787" s="899"/>
      <c r="L1787" s="899"/>
      <c r="M1787" s="899"/>
      <c r="N1787" s="899"/>
      <c r="O1787" s="899"/>
      <c r="P1787" s="899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896"/>
      <c r="E1788" s="677"/>
      <c r="F1788" s="677"/>
      <c r="G1788" s="677"/>
      <c r="H1788" s="897"/>
      <c r="I1788" s="898"/>
      <c r="J1788" s="898"/>
      <c r="K1788" s="899"/>
      <c r="L1788" s="899"/>
      <c r="M1788" s="899"/>
      <c r="N1788" s="899"/>
      <c r="O1788" s="899"/>
      <c r="P1788" s="899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896"/>
      <c r="E1789" s="677"/>
      <c r="F1789" s="677"/>
      <c r="G1789" s="677"/>
      <c r="H1789" s="897"/>
      <c r="I1789" s="898"/>
      <c r="J1789" s="898"/>
      <c r="K1789" s="899"/>
      <c r="L1789" s="899"/>
      <c r="M1789" s="899"/>
      <c r="N1789" s="899"/>
      <c r="O1789" s="899"/>
      <c r="P1789" s="899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896"/>
      <c r="E1790" s="677"/>
      <c r="F1790" s="677"/>
      <c r="G1790" s="677"/>
      <c r="H1790" s="897"/>
      <c r="I1790" s="898"/>
      <c r="J1790" s="898"/>
      <c r="K1790" s="899"/>
      <c r="L1790" s="899"/>
      <c r="M1790" s="899"/>
      <c r="N1790" s="899"/>
      <c r="O1790" s="899"/>
      <c r="P1790" s="899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896"/>
      <c r="E1791" s="677"/>
      <c r="F1791" s="677"/>
      <c r="G1791" s="677"/>
      <c r="H1791" s="897"/>
      <c r="I1791" s="898"/>
      <c r="J1791" s="898"/>
      <c r="K1791" s="899"/>
      <c r="L1791" s="899"/>
      <c r="M1791" s="899"/>
      <c r="N1791" s="899"/>
      <c r="O1791" s="899"/>
      <c r="P1791" s="899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896"/>
      <c r="E1792" s="677"/>
      <c r="F1792" s="677"/>
      <c r="G1792" s="677"/>
      <c r="H1792" s="897"/>
      <c r="I1792" s="898"/>
      <c r="J1792" s="898"/>
      <c r="K1792" s="899"/>
      <c r="L1792" s="899"/>
      <c r="M1792" s="899"/>
      <c r="N1792" s="899"/>
      <c r="O1792" s="899"/>
      <c r="P1792" s="899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896"/>
      <c r="E1793" s="677"/>
      <c r="F1793" s="677"/>
      <c r="G1793" s="677"/>
      <c r="H1793" s="897"/>
      <c r="I1793" s="898"/>
      <c r="J1793" s="898"/>
      <c r="K1793" s="899"/>
      <c r="L1793" s="899"/>
      <c r="M1793" s="899"/>
      <c r="N1793" s="899"/>
      <c r="O1793" s="899"/>
      <c r="P1793" s="899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896"/>
      <c r="E1794" s="677"/>
      <c r="F1794" s="677"/>
      <c r="G1794" s="677"/>
      <c r="H1794" s="897"/>
      <c r="I1794" s="898"/>
      <c r="J1794" s="898"/>
      <c r="K1794" s="899"/>
      <c r="L1794" s="899"/>
      <c r="M1794" s="899"/>
      <c r="N1794" s="899"/>
      <c r="O1794" s="899"/>
      <c r="P1794" s="899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896"/>
      <c r="E1795" s="677"/>
      <c r="F1795" s="677"/>
      <c r="G1795" s="677"/>
      <c r="H1795" s="897"/>
      <c r="I1795" s="898"/>
      <c r="J1795" s="898"/>
      <c r="K1795" s="899"/>
      <c r="L1795" s="899"/>
      <c r="M1795" s="899"/>
      <c r="N1795" s="899"/>
      <c r="O1795" s="899"/>
      <c r="P1795" s="899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896"/>
      <c r="E1796" s="677"/>
      <c r="F1796" s="677"/>
      <c r="G1796" s="677"/>
      <c r="H1796" s="897"/>
      <c r="I1796" s="898"/>
      <c r="J1796" s="898"/>
      <c r="K1796" s="899"/>
      <c r="L1796" s="899"/>
      <c r="M1796" s="899"/>
      <c r="N1796" s="899"/>
      <c r="O1796" s="899"/>
      <c r="P1796" s="899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896"/>
      <c r="E1797" s="677"/>
      <c r="F1797" s="677"/>
      <c r="G1797" s="677"/>
      <c r="H1797" s="897"/>
      <c r="I1797" s="898"/>
      <c r="J1797" s="898"/>
      <c r="K1797" s="899"/>
      <c r="L1797" s="899"/>
      <c r="M1797" s="899"/>
      <c r="N1797" s="899"/>
      <c r="O1797" s="899"/>
      <c r="P1797" s="899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896"/>
      <c r="E1798" s="677"/>
      <c r="F1798" s="677"/>
      <c r="G1798" s="677"/>
      <c r="H1798" s="897"/>
      <c r="I1798" s="898"/>
      <c r="J1798" s="898"/>
      <c r="K1798" s="899"/>
      <c r="L1798" s="899"/>
      <c r="M1798" s="899"/>
      <c r="N1798" s="899"/>
      <c r="O1798" s="899"/>
      <c r="P1798" s="899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896"/>
      <c r="E1799" s="677"/>
      <c r="F1799" s="677"/>
      <c r="G1799" s="677"/>
      <c r="H1799" s="897"/>
      <c r="I1799" s="898"/>
      <c r="J1799" s="898"/>
      <c r="K1799" s="899"/>
      <c r="L1799" s="899"/>
      <c r="M1799" s="899"/>
      <c r="N1799" s="899"/>
      <c r="O1799" s="899"/>
      <c r="P1799" s="899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896"/>
      <c r="E1800" s="677"/>
      <c r="F1800" s="677"/>
      <c r="G1800" s="677"/>
      <c r="H1800" s="897"/>
      <c r="I1800" s="898"/>
      <c r="J1800" s="898"/>
      <c r="K1800" s="899"/>
      <c r="L1800" s="899"/>
      <c r="M1800" s="899"/>
      <c r="N1800" s="899"/>
      <c r="O1800" s="899"/>
      <c r="P1800" s="899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896"/>
      <c r="E1801" s="677"/>
      <c r="F1801" s="677"/>
      <c r="G1801" s="677"/>
      <c r="H1801" s="897"/>
      <c r="I1801" s="898"/>
      <c r="J1801" s="898"/>
      <c r="K1801" s="899"/>
      <c r="L1801" s="899"/>
      <c r="M1801" s="899"/>
      <c r="N1801" s="899"/>
      <c r="O1801" s="899"/>
      <c r="P1801" s="899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896"/>
      <c r="E1802" s="677"/>
      <c r="F1802" s="677"/>
      <c r="G1802" s="677"/>
      <c r="H1802" s="897"/>
      <c r="I1802" s="898"/>
      <c r="J1802" s="898"/>
      <c r="K1802" s="899"/>
      <c r="L1802" s="899"/>
      <c r="M1802" s="899"/>
      <c r="N1802" s="899"/>
      <c r="O1802" s="899"/>
      <c r="P1802" s="899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896"/>
      <c r="E1803" s="677"/>
      <c r="F1803" s="677"/>
      <c r="G1803" s="677"/>
      <c r="H1803" s="897"/>
      <c r="I1803" s="898"/>
      <c r="J1803" s="898"/>
      <c r="K1803" s="899"/>
      <c r="L1803" s="899"/>
      <c r="M1803" s="899"/>
      <c r="N1803" s="899"/>
      <c r="O1803" s="899"/>
      <c r="P1803" s="899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896"/>
      <c r="E1804" s="677"/>
      <c r="F1804" s="677"/>
      <c r="G1804" s="677"/>
      <c r="H1804" s="897"/>
      <c r="I1804" s="898"/>
      <c r="J1804" s="898"/>
      <c r="K1804" s="899"/>
      <c r="L1804" s="899"/>
      <c r="M1804" s="899"/>
      <c r="N1804" s="899"/>
      <c r="O1804" s="899"/>
      <c r="P1804" s="899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896"/>
      <c r="E1805" s="677"/>
      <c r="F1805" s="677"/>
      <c r="G1805" s="677"/>
      <c r="H1805" s="897"/>
      <c r="I1805" s="898"/>
      <c r="J1805" s="898"/>
      <c r="K1805" s="899"/>
      <c r="L1805" s="899"/>
      <c r="M1805" s="899"/>
      <c r="N1805" s="899"/>
      <c r="O1805" s="899"/>
      <c r="P1805" s="899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896"/>
      <c r="E1806" s="677"/>
      <c r="F1806" s="677"/>
      <c r="G1806" s="677"/>
      <c r="H1806" s="897"/>
      <c r="I1806" s="898"/>
      <c r="J1806" s="898"/>
      <c r="K1806" s="899"/>
      <c r="L1806" s="899"/>
      <c r="M1806" s="899"/>
      <c r="N1806" s="899"/>
      <c r="O1806" s="899"/>
      <c r="P1806" s="899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896"/>
      <c r="E1807" s="677"/>
      <c r="F1807" s="677"/>
      <c r="G1807" s="677"/>
      <c r="H1807" s="897"/>
      <c r="I1807" s="898"/>
      <c r="J1807" s="898"/>
      <c r="K1807" s="899"/>
      <c r="L1807" s="899"/>
      <c r="M1807" s="899"/>
      <c r="N1807" s="899"/>
      <c r="O1807" s="899"/>
      <c r="P1807" s="899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896"/>
      <c r="E1808" s="677"/>
      <c r="F1808" s="677"/>
      <c r="G1808" s="677"/>
      <c r="H1808" s="897"/>
      <c r="I1808" s="898"/>
      <c r="J1808" s="898"/>
      <c r="K1808" s="899"/>
      <c r="L1808" s="899"/>
      <c r="M1808" s="899"/>
      <c r="N1808" s="899"/>
      <c r="O1808" s="899"/>
      <c r="P1808" s="899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896"/>
      <c r="E1809" s="677"/>
      <c r="F1809" s="677"/>
      <c r="G1809" s="677"/>
      <c r="H1809" s="897"/>
      <c r="I1809" s="898"/>
      <c r="J1809" s="898"/>
      <c r="K1809" s="899"/>
      <c r="L1809" s="899"/>
      <c r="M1809" s="899"/>
      <c r="N1809" s="899"/>
      <c r="O1809" s="899"/>
      <c r="P1809" s="899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896"/>
      <c r="E1810" s="677"/>
      <c r="F1810" s="677"/>
      <c r="G1810" s="677"/>
      <c r="H1810" s="897"/>
      <c r="I1810" s="898"/>
      <c r="J1810" s="898"/>
      <c r="K1810" s="899"/>
      <c r="L1810" s="899"/>
      <c r="M1810" s="899"/>
      <c r="N1810" s="899"/>
      <c r="O1810" s="899"/>
      <c r="P1810" s="899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896"/>
      <c r="E1811" s="677"/>
      <c r="F1811" s="677"/>
      <c r="G1811" s="677"/>
      <c r="H1811" s="897"/>
      <c r="I1811" s="898"/>
      <c r="J1811" s="898"/>
      <c r="K1811" s="899"/>
      <c r="L1811" s="899"/>
      <c r="M1811" s="899"/>
      <c r="N1811" s="899"/>
      <c r="O1811" s="899"/>
      <c r="P1811" s="899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896"/>
      <c r="E1812" s="677"/>
      <c r="F1812" s="677"/>
      <c r="G1812" s="677"/>
      <c r="H1812" s="897"/>
      <c r="I1812" s="898"/>
      <c r="J1812" s="898"/>
      <c r="K1812" s="899"/>
      <c r="L1812" s="899"/>
      <c r="M1812" s="899"/>
      <c r="N1812" s="899"/>
      <c r="O1812" s="899"/>
      <c r="P1812" s="899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896"/>
      <c r="E1813" s="677"/>
      <c r="F1813" s="677"/>
      <c r="G1813" s="677"/>
      <c r="H1813" s="897"/>
      <c r="I1813" s="898"/>
      <c r="J1813" s="898"/>
      <c r="K1813" s="899"/>
      <c r="L1813" s="899"/>
      <c r="M1813" s="899"/>
      <c r="N1813" s="899"/>
      <c r="O1813" s="899"/>
      <c r="P1813" s="899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896"/>
      <c r="E1814" s="677"/>
      <c r="F1814" s="677"/>
      <c r="G1814" s="677"/>
      <c r="H1814" s="897"/>
      <c r="I1814" s="898"/>
      <c r="J1814" s="898"/>
      <c r="K1814" s="899"/>
      <c r="L1814" s="899"/>
      <c r="M1814" s="899"/>
      <c r="N1814" s="899"/>
      <c r="O1814" s="899"/>
      <c r="P1814" s="899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896"/>
      <c r="E1815" s="677"/>
      <c r="F1815" s="677"/>
      <c r="G1815" s="677"/>
      <c r="H1815" s="897"/>
      <c r="I1815" s="898"/>
      <c r="J1815" s="898"/>
      <c r="K1815" s="899"/>
      <c r="L1815" s="899"/>
      <c r="M1815" s="899"/>
      <c r="N1815" s="899"/>
      <c r="O1815" s="899"/>
      <c r="P1815" s="899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896"/>
      <c r="E1816" s="677"/>
      <c r="F1816" s="677"/>
      <c r="G1816" s="677"/>
      <c r="H1816" s="897"/>
      <c r="I1816" s="898"/>
      <c r="J1816" s="898"/>
      <c r="K1816" s="899"/>
      <c r="L1816" s="899"/>
      <c r="M1816" s="899"/>
      <c r="N1816" s="899"/>
      <c r="O1816" s="899"/>
      <c r="P1816" s="899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896"/>
      <c r="E1817" s="677"/>
      <c r="F1817" s="677"/>
      <c r="G1817" s="677"/>
      <c r="H1817" s="897"/>
      <c r="I1817" s="898"/>
      <c r="J1817" s="898"/>
      <c r="K1817" s="899"/>
      <c r="L1817" s="899"/>
      <c r="M1817" s="899"/>
      <c r="N1817" s="899"/>
      <c r="O1817" s="899"/>
      <c r="P1817" s="899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896"/>
      <c r="E1818" s="677"/>
      <c r="F1818" s="677"/>
      <c r="G1818" s="677"/>
      <c r="H1818" s="897"/>
      <c r="I1818" s="898"/>
      <c r="J1818" s="898"/>
      <c r="K1818" s="899"/>
      <c r="L1818" s="899"/>
      <c r="M1818" s="899"/>
      <c r="N1818" s="899"/>
      <c r="O1818" s="899"/>
      <c r="P1818" s="899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896"/>
      <c r="E1819" s="677"/>
      <c r="F1819" s="677"/>
      <c r="G1819" s="677"/>
      <c r="H1819" s="897"/>
      <c r="I1819" s="898"/>
      <c r="J1819" s="898"/>
      <c r="K1819" s="899"/>
      <c r="L1819" s="899"/>
      <c r="M1819" s="899"/>
      <c r="N1819" s="899"/>
      <c r="O1819" s="899"/>
      <c r="P1819" s="899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896"/>
      <c r="E1820" s="677"/>
      <c r="F1820" s="677"/>
      <c r="G1820" s="677"/>
      <c r="H1820" s="897"/>
      <c r="I1820" s="898"/>
      <c r="J1820" s="898"/>
      <c r="K1820" s="899"/>
      <c r="L1820" s="899"/>
      <c r="M1820" s="899"/>
      <c r="N1820" s="899"/>
      <c r="O1820" s="899"/>
      <c r="P1820" s="899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896"/>
      <c r="E1821" s="677"/>
      <c r="F1821" s="677"/>
      <c r="G1821" s="677"/>
      <c r="H1821" s="897"/>
      <c r="I1821" s="898"/>
      <c r="J1821" s="898"/>
      <c r="K1821" s="899"/>
      <c r="L1821" s="899"/>
      <c r="M1821" s="899"/>
      <c r="N1821" s="899"/>
      <c r="O1821" s="899"/>
      <c r="P1821" s="899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896"/>
      <c r="E1822" s="677"/>
      <c r="F1822" s="677"/>
      <c r="G1822" s="677"/>
      <c r="H1822" s="897"/>
      <c r="I1822" s="898"/>
      <c r="J1822" s="898"/>
      <c r="K1822" s="899"/>
      <c r="L1822" s="899"/>
      <c r="M1822" s="899"/>
      <c r="N1822" s="899"/>
      <c r="O1822" s="899"/>
      <c r="P1822" s="899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896"/>
      <c r="E1823" s="677"/>
      <c r="F1823" s="677"/>
      <c r="G1823" s="677"/>
      <c r="H1823" s="897"/>
      <c r="I1823" s="898"/>
      <c r="J1823" s="898"/>
      <c r="K1823" s="899"/>
      <c r="L1823" s="899"/>
      <c r="M1823" s="899"/>
      <c r="N1823" s="899"/>
      <c r="O1823" s="899"/>
      <c r="P1823" s="899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896"/>
      <c r="E1824" s="677"/>
      <c r="F1824" s="677"/>
      <c r="G1824" s="677"/>
      <c r="H1824" s="897"/>
      <c r="I1824" s="898"/>
      <c r="J1824" s="898"/>
      <c r="K1824" s="899"/>
      <c r="L1824" s="899"/>
      <c r="M1824" s="899"/>
      <c r="N1824" s="899"/>
      <c r="O1824" s="899"/>
      <c r="P1824" s="899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896"/>
      <c r="E1825" s="677"/>
      <c r="F1825" s="677"/>
      <c r="G1825" s="677"/>
      <c r="H1825" s="897"/>
      <c r="I1825" s="898"/>
      <c r="J1825" s="898"/>
      <c r="K1825" s="899"/>
      <c r="L1825" s="899"/>
      <c r="M1825" s="899"/>
      <c r="N1825" s="899"/>
      <c r="O1825" s="899"/>
      <c r="P1825" s="899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896"/>
      <c r="E1826" s="677"/>
      <c r="F1826" s="677"/>
      <c r="G1826" s="677"/>
      <c r="H1826" s="897"/>
      <c r="I1826" s="898"/>
      <c r="J1826" s="898"/>
      <c r="K1826" s="899"/>
      <c r="L1826" s="899"/>
      <c r="M1826" s="899"/>
      <c r="N1826" s="899"/>
      <c r="O1826" s="899"/>
      <c r="P1826" s="899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896"/>
      <c r="E1827" s="677"/>
      <c r="F1827" s="677"/>
      <c r="G1827" s="677"/>
      <c r="H1827" s="897"/>
      <c r="I1827" s="898"/>
      <c r="J1827" s="898"/>
      <c r="K1827" s="899"/>
      <c r="L1827" s="899"/>
      <c r="M1827" s="899"/>
      <c r="N1827" s="899"/>
      <c r="O1827" s="899"/>
      <c r="P1827" s="899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896"/>
      <c r="E1828" s="677"/>
      <c r="F1828" s="677"/>
      <c r="G1828" s="677"/>
      <c r="H1828" s="897"/>
      <c r="I1828" s="898"/>
      <c r="J1828" s="898"/>
      <c r="K1828" s="899"/>
      <c r="L1828" s="899"/>
      <c r="M1828" s="899"/>
      <c r="N1828" s="899"/>
      <c r="O1828" s="899"/>
      <c r="P1828" s="899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7E45-0BD6-4DE6-A9D0-64BF380F1ECC}">
  <sheetPr codeName="Sheet7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3736313</v>
      </c>
      <c r="M8" s="22">
        <f t="shared" ca="1" si="0"/>
        <v>3786133</v>
      </c>
      <c r="N8" s="22">
        <f t="shared" ca="1" si="0"/>
        <v>2905506.9299999997</v>
      </c>
      <c r="O8" s="22">
        <f t="shared" ref="O8:O16" ca="1" si="1">IF(L8&gt;0,N8*100/L8,0)</f>
        <v>77.76401307920402</v>
      </c>
      <c r="P8" s="22">
        <f t="shared" ref="P8:P16" ca="1" si="2">IF(M8&gt;0,N8*100/M8,0)</f>
        <v>76.740751843635707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3736313</v>
      </c>
      <c r="M10" s="30">
        <f t="shared" ca="1" si="3"/>
        <v>3786133</v>
      </c>
      <c r="N10" s="30">
        <f t="shared" ca="1" si="3"/>
        <v>2905506.9299999997</v>
      </c>
      <c r="O10" s="30">
        <f t="shared" ca="1" si="1"/>
        <v>77.76401307920402</v>
      </c>
      <c r="P10" s="30">
        <f t="shared" ca="1" si="2"/>
        <v>76.740751843635707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2935313</v>
      </c>
      <c r="M11" s="497">
        <f t="shared" ca="1" si="4"/>
        <v>3041633</v>
      </c>
      <c r="N11" s="497">
        <f t="shared" ca="1" si="4"/>
        <v>2161006.9299999997</v>
      </c>
      <c r="O11" s="497">
        <f t="shared" ca="1" si="1"/>
        <v>73.621004983114233</v>
      </c>
      <c r="P11" s="497">
        <f t="shared" ca="1" si="2"/>
        <v>71.047589567840689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2935313</v>
      </c>
      <c r="M13" s="93">
        <f t="shared" ca="1" si="5"/>
        <v>3041633</v>
      </c>
      <c r="N13" s="93">
        <f t="shared" ca="1" si="5"/>
        <v>2161006.9299999997</v>
      </c>
      <c r="O13" s="93">
        <f t="shared" ca="1" si="1"/>
        <v>73.621004983114233</v>
      </c>
      <c r="P13" s="93">
        <f t="shared" ca="1" si="2"/>
        <v>71.047589567840689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801000</v>
      </c>
      <c r="M14" s="497">
        <f t="shared" ca="1" si="6"/>
        <v>744500</v>
      </c>
      <c r="N14" s="497">
        <f t="shared" ca="1" si="6"/>
        <v>744500</v>
      </c>
      <c r="O14" s="497">
        <f t="shared" ca="1" si="1"/>
        <v>92.946317103620473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801000</v>
      </c>
      <c r="M16" s="52">
        <f t="shared" ca="1" si="7"/>
        <v>744500</v>
      </c>
      <c r="N16" s="52">
        <f t="shared" ca="1" si="7"/>
        <v>744500</v>
      </c>
      <c r="O16" s="52">
        <f t="shared" ca="1" si="1"/>
        <v>92.946317103620473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2890420</v>
      </c>
      <c r="M18" s="22">
        <f t="shared" ca="1" si="8"/>
        <v>2980240</v>
      </c>
      <c r="N18" s="22">
        <f t="shared" ca="1" si="8"/>
        <v>2468086.9299999997</v>
      </c>
      <c r="O18" s="22">
        <f t="shared" ref="O18:O26" ca="1" si="9">IF(L18&gt;0,N18*100/L18,0)</f>
        <v>85.388522429266331</v>
      </c>
      <c r="P18" s="22">
        <f t="shared" ref="P18:P26" ca="1" si="10">IF(M18&gt;0,N18*100/M18,0)</f>
        <v>82.815039392800571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2890420</v>
      </c>
      <c r="M20" s="30">
        <f t="shared" ca="1" si="11"/>
        <v>2980240</v>
      </c>
      <c r="N20" s="30">
        <f t="shared" ca="1" si="11"/>
        <v>2468086.9299999997</v>
      </c>
      <c r="O20" s="30">
        <f t="shared" ca="1" si="9"/>
        <v>85.388522429266331</v>
      </c>
      <c r="P20" s="30">
        <f t="shared" ca="1" si="10"/>
        <v>82.815039392800571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2089420</v>
      </c>
      <c r="M21" s="497">
        <f t="shared" ca="1" si="12"/>
        <v>2235740</v>
      </c>
      <c r="N21" s="497">
        <f t="shared" ca="1" si="12"/>
        <v>1723586.93</v>
      </c>
      <c r="O21" s="497">
        <f t="shared" ca="1" si="9"/>
        <v>82.491166448105218</v>
      </c>
      <c r="P21" s="497">
        <f t="shared" ca="1" si="10"/>
        <v>77.092458425398306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2089420</v>
      </c>
      <c r="M23" s="93">
        <f t="shared" ca="1" si="13"/>
        <v>2235740</v>
      </c>
      <c r="N23" s="93">
        <f t="shared" ca="1" si="13"/>
        <v>1723586.93</v>
      </c>
      <c r="O23" s="93">
        <f t="shared" ca="1" si="9"/>
        <v>82.491166448105218</v>
      </c>
      <c r="P23" s="93">
        <f t="shared" ca="1" si="10"/>
        <v>77.092458425398306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801000</v>
      </c>
      <c r="M24" s="497">
        <f t="shared" ca="1" si="14"/>
        <v>744500</v>
      </c>
      <c r="N24" s="497">
        <f t="shared" ca="1" si="14"/>
        <v>744500</v>
      </c>
      <c r="O24" s="497">
        <f t="shared" ca="1" si="9"/>
        <v>92.946317103620473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801000</v>
      </c>
      <c r="M26" s="52">
        <f t="shared" ca="1" si="15"/>
        <v>744500</v>
      </c>
      <c r="N26" s="52">
        <f t="shared" ca="1" si="15"/>
        <v>744500</v>
      </c>
      <c r="O26" s="52">
        <f t="shared" ca="1" si="9"/>
        <v>92.946317103620473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845893</v>
      </c>
      <c r="M28" s="22">
        <f t="shared" ca="1" si="16"/>
        <v>805893</v>
      </c>
      <c r="N28" s="22">
        <f t="shared" si="16"/>
        <v>437420</v>
      </c>
      <c r="O28" s="22">
        <f t="shared" ref="O28:O37" ca="1" si="17">IF(L28&gt;0,N28*100/L28,0)</f>
        <v>51.711032009958707</v>
      </c>
      <c r="P28" s="22">
        <f t="shared" ref="P28:P37" ca="1" si="18">IF(M28&gt;0,N28*100/M28,0)</f>
        <v>54.277677061346857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845893</v>
      </c>
      <c r="M30" s="30">
        <f t="shared" ca="1" si="19"/>
        <v>805893</v>
      </c>
      <c r="N30" s="30">
        <f t="shared" si="19"/>
        <v>437420</v>
      </c>
      <c r="O30" s="30">
        <f t="shared" ca="1" si="17"/>
        <v>51.711032009958707</v>
      </c>
      <c r="P30" s="30">
        <f t="shared" ca="1" si="18"/>
        <v>54.277677061346857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845893</v>
      </c>
      <c r="M31" s="497">
        <f t="shared" ca="1" si="20"/>
        <v>805893</v>
      </c>
      <c r="N31" s="497">
        <f t="shared" si="20"/>
        <v>437420</v>
      </c>
      <c r="O31" s="497">
        <f t="shared" ca="1" si="17"/>
        <v>51.711032009958707</v>
      </c>
      <c r="P31" s="497">
        <f t="shared" ca="1" si="18"/>
        <v>54.277677061346857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845893</v>
      </c>
      <c r="M33" s="93">
        <f t="shared" ca="1" si="21"/>
        <v>805893</v>
      </c>
      <c r="N33" s="93">
        <f t="shared" si="21"/>
        <v>437420</v>
      </c>
      <c r="O33" s="93">
        <f t="shared" ca="1" si="17"/>
        <v>51.711032009958707</v>
      </c>
      <c r="P33" s="93">
        <f t="shared" ca="1" si="18"/>
        <v>54.277677061346857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2890420</v>
      </c>
      <c r="M37" s="59">
        <f t="shared" ca="1" si="24"/>
        <v>2980240</v>
      </c>
      <c r="N37" s="59">
        <f t="shared" ca="1" si="24"/>
        <v>2468086.9299999997</v>
      </c>
      <c r="O37" s="59">
        <f t="shared" ca="1" si="17"/>
        <v>85.388522429266331</v>
      </c>
      <c r="P37" s="59">
        <f t="shared" ca="1" si="18"/>
        <v>82.815039392800571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278050</v>
      </c>
      <c r="M41" s="85">
        <f t="shared" ca="1" si="25"/>
        <v>299560</v>
      </c>
      <c r="N41" s="85">
        <f t="shared" ca="1" si="25"/>
        <v>234529</v>
      </c>
      <c r="O41" s="85">
        <f t="shared" ref="O41:O49" ca="1" si="26">IF(L41&gt;0,N41*100/L41,0)</f>
        <v>84.347779176407116</v>
      </c>
      <c r="P41" s="85">
        <f t="shared" ref="P41:P49" ca="1" si="27">IF(M41&gt;0,N41*100/M41,0)</f>
        <v>78.291160368540531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278050</v>
      </c>
      <c r="M43" s="92">
        <f t="shared" ca="1" si="28"/>
        <v>299560</v>
      </c>
      <c r="N43" s="92">
        <f t="shared" ca="1" si="28"/>
        <v>234529</v>
      </c>
      <c r="O43" s="92">
        <f t="shared" ca="1" si="26"/>
        <v>84.347779176407116</v>
      </c>
      <c r="P43" s="92">
        <f t="shared" ca="1" si="27"/>
        <v>78.291160368540531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278050</v>
      </c>
      <c r="M44" s="497">
        <f t="shared" ca="1" si="29"/>
        <v>299560</v>
      </c>
      <c r="N44" s="497">
        <f t="shared" ca="1" si="29"/>
        <v>234529</v>
      </c>
      <c r="O44" s="497">
        <f t="shared" ca="1" si="26"/>
        <v>84.347779176407116</v>
      </c>
      <c r="P44" s="497">
        <f t="shared" ca="1" si="27"/>
        <v>78.291160368540531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IFERROR(__xludf.DUMMYFUNCTION("IMPORTRANGE(""https://docs.google.com/spreadsheets/d/1MeEWN-I1oV_STSDYn1IFDPWt_1FKiwhDph83XaGc0o0/edit?usp=sharing"",""งบพรบ!M58"")"),278050)</f>
        <v>278050</v>
      </c>
      <c r="M46" s="93">
        <f ca="1">IFERROR(__xludf.DUMMYFUNCTION("IMPORTRANGE(""https://docs.google.com/spreadsheets/d/1MeEWN-I1oV_STSDYn1IFDPWt_1FKiwhDph83XaGc0o0/edit?usp=sharing"",""งบพรบ!R58"")"),299560)</f>
        <v>299560</v>
      </c>
      <c r="N46" s="93">
        <f ca="1">IFERROR(__xludf.DUMMYFUNCTION("IMPORTRANGE(""https://docs.google.com/spreadsheets/d/1MeEWN-I1oV_STSDYn1IFDPWt_1FKiwhDph83XaGc0o0/edit?usp=sharing"",""งบพรบ!T58"")"),234529)</f>
        <v>234529</v>
      </c>
      <c r="O46" s="93">
        <f t="shared" ca="1" si="26"/>
        <v>84.347779176407116</v>
      </c>
      <c r="P46" s="93">
        <f t="shared" ca="1" si="27"/>
        <v>78.291160368540531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IFERROR(__xludf.DUMMYFUNCTION("IMPORTRANGE(""https://docs.google.com/spreadsheets/d/1MeEWN-I1oV_STSDYn1IFDPWt_1FKiwhDph83XaGc0o0/edit?usp=sharing"",""งบพรบ!P58"")"),0)</f>
        <v>0</v>
      </c>
      <c r="M49" s="52">
        <f ca="1">IFERROR(__xludf.DUMMYFUNCTION("IMPORTRANGE(""https://docs.google.com/spreadsheets/d/1MeEWN-I1oV_STSDYn1IFDPWt_1FKiwhDph83XaGc0o0/edit?usp=sharing"",""งบพรบ!S58"")"),0)</f>
        <v>0</v>
      </c>
      <c r="N49" s="52">
        <f ca="1">IFERROR(__xludf.DUMMYFUNCTION("IMPORTRANGE(""https://docs.google.com/spreadsheets/d/1MeEWN-I1oV_STSDYn1IFDPWt_1FKiwhDph83XaGc0o0/edit?usp=sharing"",""งบพรบ!U58"")"),0)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1417900</v>
      </c>
      <c r="M53" s="116">
        <f t="shared" ca="1" si="31"/>
        <v>1362900</v>
      </c>
      <c r="N53" s="116">
        <f t="shared" ca="1" si="31"/>
        <v>1198371.93</v>
      </c>
      <c r="O53" s="116">
        <f t="shared" ref="O53:O61" ca="1" si="32">IF(L53&gt;0,N53*100/L53,0)</f>
        <v>84.517379928062624</v>
      </c>
      <c r="P53" s="116">
        <f t="shared" ref="P53:P61" ca="1" si="33">IF(M53&gt;0,N53*100/M53,0)</f>
        <v>87.928089368258853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1417900</v>
      </c>
      <c r="M55" s="123">
        <f t="shared" ca="1" si="34"/>
        <v>1362900</v>
      </c>
      <c r="N55" s="123">
        <f t="shared" ca="1" si="34"/>
        <v>1198371.93</v>
      </c>
      <c r="O55" s="123">
        <f t="shared" ca="1" si="32"/>
        <v>84.517379928062624</v>
      </c>
      <c r="P55" s="123">
        <f t="shared" ca="1" si="33"/>
        <v>87.928089368258853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632900</v>
      </c>
      <c r="M56" s="497">
        <f t="shared" ca="1" si="35"/>
        <v>632900</v>
      </c>
      <c r="N56" s="497">
        <f t="shared" ca="1" si="35"/>
        <v>468371.93</v>
      </c>
      <c r="O56" s="497">
        <f t="shared" ca="1" si="32"/>
        <v>74.004097013746247</v>
      </c>
      <c r="P56" s="497">
        <f t="shared" ca="1" si="33"/>
        <v>74.004097013746247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IFERROR(__xludf.DUMMYFUNCTION("IMPORTRANGE(""https://docs.google.com/spreadsheets/d/1MeEWN-I1oV_STSDYn1IFDPWt_1FKiwhDph83XaGc0o0/edit?usp=sharing"",""งบพรบ!W58"")"),632900)</f>
        <v>632900</v>
      </c>
      <c r="M58" s="93">
        <f ca="1">IFERROR(__xludf.DUMMYFUNCTION("IMPORTRANGE(""https://docs.google.com/spreadsheets/d/1MeEWN-I1oV_STSDYn1IFDPWt_1FKiwhDph83XaGc0o0/edit?usp=sharing"",""งบพรบ!AB58"")"),632900)</f>
        <v>632900</v>
      </c>
      <c r="N58" s="93">
        <f ca="1">IFERROR(__xludf.DUMMYFUNCTION("IMPORTRANGE(""https://docs.google.com/spreadsheets/d/1MeEWN-I1oV_STSDYn1IFDPWt_1FKiwhDph83XaGc0o0/edit?usp=sharing"",""งบพรบ!AD58"")"),468371.93)</f>
        <v>468371.93</v>
      </c>
      <c r="O58" s="93">
        <f t="shared" ca="1" si="32"/>
        <v>74.004097013746247</v>
      </c>
      <c r="P58" s="93">
        <f t="shared" ca="1" si="33"/>
        <v>74.004097013746247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785000</v>
      </c>
      <c r="M59" s="497">
        <f t="shared" ca="1" si="36"/>
        <v>730000</v>
      </c>
      <c r="N59" s="497">
        <f t="shared" ca="1" si="36"/>
        <v>730000</v>
      </c>
      <c r="O59" s="497">
        <f t="shared" ca="1" si="32"/>
        <v>92.99363057324841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IFERROR(__xludf.DUMMYFUNCTION("IMPORTRANGE(""https://docs.google.com/spreadsheets/d/1MeEWN-I1oV_STSDYn1IFDPWt_1FKiwhDph83XaGc0o0/edit?usp=sharing"",""งบพรบ!Z58"")"),785000)</f>
        <v>785000</v>
      </c>
      <c r="M61" s="52">
        <f ca="1">IFERROR(__xludf.DUMMYFUNCTION("IMPORTRANGE(""https://docs.google.com/spreadsheets/d/1MeEWN-I1oV_STSDYn1IFDPWt_1FKiwhDph83XaGc0o0/edit?usp=sharing"",""งบพรบ!AC58"")"),730000)</f>
        <v>730000</v>
      </c>
      <c r="N61" s="52">
        <f ca="1">IFERROR(__xludf.DUMMYFUNCTION("IMPORTRANGE(""https://docs.google.com/spreadsheets/d/1MeEWN-I1oV_STSDYn1IFDPWt_1FKiwhDph83XaGc0o0/edit?usp=sharing"",""งบพรบ!AE58"")"),730000)</f>
        <v>730000</v>
      </c>
      <c r="O61" s="52">
        <f t="shared" ca="1" si="32"/>
        <v>92.99363057324841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IFERROR(__xludf.DUMMYFUNCTION("IMPORTRANGE(""https://docs.google.com/spreadsheets/d/1MeEWN-I1oV_STSDYn1IFDPWt_1FKiwhDph83XaGc0o0/edit?usp=sharing"",""งบพรบ!AG58"")"),0)</f>
        <v>0</v>
      </c>
      <c r="M71" s="93">
        <f ca="1">IFERROR(__xludf.DUMMYFUNCTION("IMPORTRANGE(""https://docs.google.com/spreadsheets/d/1MeEWN-I1oV_STSDYn1IFDPWt_1FKiwhDph83XaGc0o0/edit?usp=sharing"",""งบพรบ!AL58"")"),0)</f>
        <v>0</v>
      </c>
      <c r="N71" s="93">
        <f ca="1">IFERROR(__xludf.DUMMYFUNCTION("IMPORTRANGE(""https://docs.google.com/spreadsheets/d/1MeEWN-I1oV_STSDYn1IFDPWt_1FKiwhDph83XaGc0o0/edit?usp=sharing"",""งบพรบ!AN58"")"),0)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IFERROR(__xludf.DUMMYFUNCTION("IMPORTRANGE(""https://docs.google.com/spreadsheets/d/1MeEWN-I1oV_STSDYn1IFDPWt_1FKiwhDph83XaGc0o0/edit?usp=sharing"",""งบพรบ!AJ58"")"),0)</f>
        <v>0</v>
      </c>
      <c r="M74" s="93">
        <f ca="1">IFERROR(__xludf.DUMMYFUNCTION("IMPORTRANGE(""https://docs.google.com/spreadsheets/d/1MeEWN-I1oV_STSDYn1IFDPWt_1FKiwhDph83XaGc0o0/edit?usp=sharing"",""งบพรบ!AM58"")"),0)</f>
        <v>0</v>
      </c>
      <c r="N74" s="93">
        <f ca="1">IFERROR(__xludf.DUMMYFUNCTION("IMPORTRANGE(""https://docs.google.com/spreadsheets/d/1MeEWN-I1oV_STSDYn1IFDPWt_1FKiwhDph83XaGc0o0/edit?usp=sharing"",""งบพรบ!AO58"")"),0)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IFERROR(__xludf.DUMMYFUNCTION("IMPORTRANGE(""https://docs.google.com/spreadsheets/d/1QqKyyYR6Q21VydFLVH3TRQUabQu_ym0Zz7PgGX0-kHA/edit?usp=sharing"",""แผน!J58"")"),0)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372140</v>
      </c>
      <c r="M88" s="155">
        <f t="shared" ca="1" si="49"/>
        <v>372140</v>
      </c>
      <c r="N88" s="155">
        <f t="shared" ca="1" si="49"/>
        <v>255587</v>
      </c>
      <c r="O88" s="155">
        <f t="shared" ref="O88:O96" ca="1" si="50">IF(L88&gt;0,N88*100/L88,0)</f>
        <v>68.680335357661093</v>
      </c>
      <c r="P88" s="155">
        <f t="shared" ref="P88:P96" ca="1" si="51">IF(M88&gt;0,N88*100/M88,0)</f>
        <v>68.680335357661093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372140</v>
      </c>
      <c r="M90" s="93">
        <f t="shared" ca="1" si="52"/>
        <v>372140</v>
      </c>
      <c r="N90" s="93">
        <f t="shared" ca="1" si="52"/>
        <v>255587</v>
      </c>
      <c r="O90" s="93">
        <f t="shared" ca="1" si="50"/>
        <v>68.680335357661093</v>
      </c>
      <c r="P90" s="93">
        <f t="shared" ca="1" si="51"/>
        <v>68.680335357661093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372140</v>
      </c>
      <c r="M91" s="497">
        <f t="shared" ca="1" si="53"/>
        <v>372140</v>
      </c>
      <c r="N91" s="497">
        <f t="shared" ca="1" si="53"/>
        <v>255587</v>
      </c>
      <c r="O91" s="497">
        <f t="shared" ca="1" si="50"/>
        <v>68.680335357661093</v>
      </c>
      <c r="P91" s="497">
        <f t="shared" ca="1" si="51"/>
        <v>68.680335357661093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IFERROR(__xludf.DUMMYFUNCTION("IMPORTRANGE(""https://docs.google.com/spreadsheets/d/1MeEWN-I1oV_STSDYn1IFDPWt_1FKiwhDph83XaGc0o0/edit?usp=sharing"",""งบพรบ!AQ58"")"),372140)</f>
        <v>372140</v>
      </c>
      <c r="M93" s="93">
        <f ca="1">IFERROR(__xludf.DUMMYFUNCTION("IMPORTRANGE(""https://docs.google.com/spreadsheets/d/1MeEWN-I1oV_STSDYn1IFDPWt_1FKiwhDph83XaGc0o0/edit?usp=sharing"",""งบพรบ!AV58"")"),372140)</f>
        <v>372140</v>
      </c>
      <c r="N93" s="93">
        <f ca="1">IFERROR(__xludf.DUMMYFUNCTION("IMPORTRANGE(""https://docs.google.com/spreadsheets/d/1MeEWN-I1oV_STSDYn1IFDPWt_1FKiwhDph83XaGc0o0/edit?usp=sharing"",""งบพรบ!AX58"")"),255587)</f>
        <v>255587</v>
      </c>
      <c r="O93" s="93">
        <f t="shared" ca="1" si="50"/>
        <v>68.680335357661093</v>
      </c>
      <c r="P93" s="93">
        <f t="shared" ca="1" si="51"/>
        <v>68.680335357661093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IFERROR(__xludf.DUMMYFUNCTION("IMPORTRANGE(""https://docs.google.com/spreadsheets/d/1MeEWN-I1oV_STSDYn1IFDPWt_1FKiwhDph83XaGc0o0/edit?usp=sharing"",""งบพรบ!AT58"")"),0)</f>
        <v>0</v>
      </c>
      <c r="M96" s="93">
        <f ca="1">IFERROR(__xludf.DUMMYFUNCTION("IMPORTRANGE(""https://docs.google.com/spreadsheets/d/1MeEWN-I1oV_STSDYn1IFDPWt_1FKiwhDph83XaGc0o0/edit?usp=sharing"",""งบพรบ!AW58"")"),0)</f>
        <v>0</v>
      </c>
      <c r="N96" s="93">
        <f ca="1">IFERROR(__xludf.DUMMYFUNCTION("IMPORTRANGE(""https://docs.google.com/spreadsheets/d/1MeEWN-I1oV_STSDYn1IFDPWt_1FKiwhDph83XaGc0o0/edit?usp=sharing"",""งบพรบ!AY58"")"),0)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IFERROR(__xludf.DUMMYFUNCTION("IMPORTRANGE(""https://docs.google.com/spreadsheets/d/1QqKyyYR6Q21VydFLVH3TRQUabQu_ym0Zz7PgGX0-kHA/edit?usp=sharing"",""แผน!R58"")"),10)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IFERROR(__xludf.DUMMYFUNCTION("IMPORTRANGE(""https://docs.google.com/spreadsheets/d/1MeEWN-I1oV_STSDYn1IFDPWt_1FKiwhDph83XaGc0o0/edit?usp=sharing"",""งบพรบ!BA58"")"),0)</f>
        <v>0</v>
      </c>
      <c r="M124" s="93">
        <f ca="1">IFERROR(__xludf.DUMMYFUNCTION("IMPORTRANGE(""https://docs.google.com/spreadsheets/d/1MeEWN-I1oV_STSDYn1IFDPWt_1FKiwhDph83XaGc0o0/edit?usp=sharing"",""งบพรบ!BF58"")"),0)</f>
        <v>0</v>
      </c>
      <c r="N124" s="93">
        <f ca="1">IFERROR(__xludf.DUMMYFUNCTION("IMPORTRANGE(""https://docs.google.com/spreadsheets/d/1MeEWN-I1oV_STSDYn1IFDPWt_1FKiwhDph83XaGc0o0/edit?usp=sharing"",""งบพรบ!BH58"")"),0)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IFERROR(__xludf.DUMMYFUNCTION("IMPORTRANGE(""https://docs.google.com/spreadsheets/d/1MeEWN-I1oV_STSDYn1IFDPWt_1FKiwhDph83XaGc0o0/edit?usp=sharing"",""งบพรบ!BD58"")"),0)</f>
        <v>0</v>
      </c>
      <c r="M127" s="93">
        <f ca="1">IFERROR(__xludf.DUMMYFUNCTION("IMPORTRANGE(""https://docs.google.com/spreadsheets/d/1MeEWN-I1oV_STSDYn1IFDPWt_1FKiwhDph83XaGc0o0/edit?usp=sharing"",""งบพรบ!BG58"")"),0)</f>
        <v>0</v>
      </c>
      <c r="N127" s="93">
        <f ca="1">IFERROR(__xludf.DUMMYFUNCTION("IMPORTRANGE(""https://docs.google.com/spreadsheets/d/1MeEWN-I1oV_STSDYn1IFDPWt_1FKiwhDph83XaGc0o0/edit?usp=sharing"",""งบพรบ!BI58"")"),0)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IFERROR(__xludf.DUMMYFUNCTION("IMPORTRANGE(""https://docs.google.com/spreadsheets/d/1MeEWN-I1oV_STSDYn1IFDPWt_1FKiwhDph83XaGc0o0/edit?usp=sharing"",""งบพรบ!BK58"")"),0)</f>
        <v>0</v>
      </c>
      <c r="M137" s="93">
        <f ca="1">IFERROR(__xludf.DUMMYFUNCTION("IMPORTRANGE(""https://docs.google.com/spreadsheets/d/1MeEWN-I1oV_STSDYn1IFDPWt_1FKiwhDph83XaGc0o0/edit?usp=sharing"",""งบพรบ!BP58"")"),0)</f>
        <v>0</v>
      </c>
      <c r="N137" s="93">
        <f ca="1">IFERROR(__xludf.DUMMYFUNCTION("IMPORTRANGE(""https://docs.google.com/spreadsheets/d/1MeEWN-I1oV_STSDYn1IFDPWt_1FKiwhDph83XaGc0o0/edit?usp=sharing"",""งบพรบ!BR58"")"),0)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IFERROR(__xludf.DUMMYFUNCTION("IMPORTRANGE(""https://docs.google.com/spreadsheets/d/1MeEWN-I1oV_STSDYn1IFDPWt_1FKiwhDph83XaGc0o0/edit?usp=sharing"",""งบพรบ!BN58"")"),0)</f>
        <v>0</v>
      </c>
      <c r="M140" s="93">
        <f ca="1">IFERROR(__xludf.DUMMYFUNCTION("IMPORTRANGE(""https://docs.google.com/spreadsheets/d/1MeEWN-I1oV_STSDYn1IFDPWt_1FKiwhDph83XaGc0o0/edit?usp=sharing"",""งบพรบ!BQ58"")"),0)</f>
        <v>0</v>
      </c>
      <c r="N140" s="93">
        <f ca="1">IFERROR(__xludf.DUMMYFUNCTION("IMPORTRANGE(""https://docs.google.com/spreadsheets/d/1MeEWN-I1oV_STSDYn1IFDPWt_1FKiwhDph83XaGc0o0/edit?usp=sharing"",""งบพรบ!BS58"")"),0)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IFERROR(__xludf.DUMMYFUNCTION("IMPORTRANGE(""https://docs.google.com/spreadsheets/d/1MeEWN-I1oV_STSDYn1IFDPWt_1FKiwhDph83XaGc0o0/edit?usp=sharing"",""งบพรบ!BU58"")"),0)</f>
        <v>0</v>
      </c>
      <c r="M154" s="93">
        <f ca="1">IFERROR(__xludf.DUMMYFUNCTION("IMPORTRANGE(""https://docs.google.com/spreadsheets/d/1MeEWN-I1oV_STSDYn1IFDPWt_1FKiwhDph83XaGc0o0/edit?usp=sharing"",""งบพรบ!BZ58"")"),0)</f>
        <v>0</v>
      </c>
      <c r="N154" s="93">
        <f ca="1">IFERROR(__xludf.DUMMYFUNCTION("IMPORTRANGE(""https://docs.google.com/spreadsheets/d/1MeEWN-I1oV_STSDYn1IFDPWt_1FKiwhDph83XaGc0o0/edit?usp=sharing"",""งบพรบ!CB58"")"),0)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IFERROR(__xludf.DUMMYFUNCTION("IMPORTRANGE(""https://docs.google.com/spreadsheets/d/1MeEWN-I1oV_STSDYn1IFDPWt_1FKiwhDph83XaGc0o0/edit?usp=sharing"",""งบพรบ!BX58"")"),0)</f>
        <v>0</v>
      </c>
      <c r="M157" s="93">
        <f ca="1">IFERROR(__xludf.DUMMYFUNCTION("IMPORTRANGE(""https://docs.google.com/spreadsheets/d/1MeEWN-I1oV_STSDYn1IFDPWt_1FKiwhDph83XaGc0o0/edit?usp=sharing"",""งบพรบ!CA58"")"),0)</f>
        <v>0</v>
      </c>
      <c r="N157" s="93">
        <f ca="1">IFERROR(__xludf.DUMMYFUNCTION("IMPORTRANGE(""https://docs.google.com/spreadsheets/d/1MeEWN-I1oV_STSDYn1IFDPWt_1FKiwhDph83XaGc0o0/edit?usp=sharing"",""งบพรบ!CC58"")"),0)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32440</v>
      </c>
      <c r="N165" s="155">
        <f t="shared" ca="1" si="84"/>
        <v>32440</v>
      </c>
      <c r="O165" s="155">
        <f t="shared" ref="O165:O173" ca="1" si="85">IF(L165&gt;0,N165*100/L165,0)</f>
        <v>154.10926365795726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32440</v>
      </c>
      <c r="N167" s="93">
        <f t="shared" ca="1" si="87"/>
        <v>32440</v>
      </c>
      <c r="O167" s="93">
        <f t="shared" ca="1" si="85"/>
        <v>154.10926365795726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32440</v>
      </c>
      <c r="N168" s="497">
        <f t="shared" ca="1" si="88"/>
        <v>32440</v>
      </c>
      <c r="O168" s="497">
        <f t="shared" ca="1" si="85"/>
        <v>154.10926365795726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IFERROR(__xludf.DUMMYFUNCTION("IMPORTRANGE(""https://docs.google.com/spreadsheets/d/1MeEWN-I1oV_STSDYn1IFDPWt_1FKiwhDph83XaGc0o0/edit?usp=sharing"",""งบพรบ!CE58"")"),21050)</f>
        <v>21050</v>
      </c>
      <c r="M170" s="93">
        <f ca="1">IFERROR(__xludf.DUMMYFUNCTION("IMPORTRANGE(""https://docs.google.com/spreadsheets/d/1MeEWN-I1oV_STSDYn1IFDPWt_1FKiwhDph83XaGc0o0/edit?usp=sharing"",""งบพรบ!CJ58"")"),32440)</f>
        <v>32440</v>
      </c>
      <c r="N170" s="93">
        <f ca="1">IFERROR(__xludf.DUMMYFUNCTION("IMPORTRANGE(""https://docs.google.com/spreadsheets/d/1MeEWN-I1oV_STSDYn1IFDPWt_1FKiwhDph83XaGc0o0/edit?usp=sharing"",""งบพรบ!CL58"")"),32440)</f>
        <v>32440</v>
      </c>
      <c r="O170" s="93">
        <f t="shared" ca="1" si="85"/>
        <v>154.10926365795726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IFERROR(__xludf.DUMMYFUNCTION("IMPORTRANGE(""https://docs.google.com/spreadsheets/d/1MeEWN-I1oV_STSDYn1IFDPWt_1FKiwhDph83XaGc0o0/edit?usp=sharing"",""งบพรบ!CH58"")"),0)</f>
        <v>0</v>
      </c>
      <c r="M173" s="93">
        <f ca="1">IFERROR(__xludf.DUMMYFUNCTION("IMPORTRANGE(""https://docs.google.com/spreadsheets/d/1MeEWN-I1oV_STSDYn1IFDPWt_1FKiwhDph83XaGc0o0/edit?usp=sharing"",""งบพรบ!CK58"")"),0)</f>
        <v>0</v>
      </c>
      <c r="N173" s="93">
        <f ca="1">IFERROR(__xludf.DUMMYFUNCTION("IMPORTRANGE(""https://docs.google.com/spreadsheets/d/1MeEWN-I1oV_STSDYn1IFDPWt_1FKiwhDph83XaGc0o0/edit?usp=sharing"",""งบพรบ!CM58"")"),0)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38600</v>
      </c>
      <c r="M181" s="155">
        <f t="shared" ca="1" si="92"/>
        <v>45320</v>
      </c>
      <c r="N181" s="155">
        <f t="shared" ca="1" si="92"/>
        <v>42116</v>
      </c>
      <c r="O181" s="155">
        <f t="shared" ref="O181:O189" ca="1" si="93">IF(L181&gt;0,N181*100/L181,0)</f>
        <v>109.10880829015544</v>
      </c>
      <c r="P181" s="155">
        <f t="shared" ref="P181:P189" ca="1" si="94">IF(M181&gt;0,N181*100/M181,0)</f>
        <v>92.930273609885262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38600</v>
      </c>
      <c r="M183" s="93">
        <f t="shared" ca="1" si="95"/>
        <v>45320</v>
      </c>
      <c r="N183" s="93">
        <f t="shared" ca="1" si="95"/>
        <v>42116</v>
      </c>
      <c r="O183" s="93">
        <f t="shared" ca="1" si="93"/>
        <v>109.10880829015544</v>
      </c>
      <c r="P183" s="93">
        <f t="shared" ca="1" si="94"/>
        <v>92.930273609885262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38600</v>
      </c>
      <c r="M184" s="497">
        <f t="shared" ca="1" si="96"/>
        <v>45320</v>
      </c>
      <c r="N184" s="497">
        <f t="shared" ca="1" si="96"/>
        <v>42116</v>
      </c>
      <c r="O184" s="497">
        <f t="shared" ca="1" si="93"/>
        <v>109.10880829015544</v>
      </c>
      <c r="P184" s="497">
        <f t="shared" ca="1" si="94"/>
        <v>92.930273609885262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IFERROR(__xludf.DUMMYFUNCTION("IMPORTRANGE(""https://docs.google.com/spreadsheets/d/1MeEWN-I1oV_STSDYn1IFDPWt_1FKiwhDph83XaGc0o0/edit?usp=sharing"",""งบพรบ!CO58"")"),38600)</f>
        <v>38600</v>
      </c>
      <c r="M186" s="93">
        <f ca="1">IFERROR(__xludf.DUMMYFUNCTION("IMPORTRANGE(""https://docs.google.com/spreadsheets/d/1MeEWN-I1oV_STSDYn1IFDPWt_1FKiwhDph83XaGc0o0/edit?usp=sharing"",""งบพรบ!CT58"")"),45320)</f>
        <v>45320</v>
      </c>
      <c r="N186" s="93">
        <f ca="1">IFERROR(__xludf.DUMMYFUNCTION("IMPORTRANGE(""https://docs.google.com/spreadsheets/d/1MeEWN-I1oV_STSDYn1IFDPWt_1FKiwhDph83XaGc0o0/edit?usp=sharing"",""งบพรบ!CV58"")"),42116)</f>
        <v>42116</v>
      </c>
      <c r="O186" s="93">
        <f t="shared" ca="1" si="93"/>
        <v>109.10880829015544</v>
      </c>
      <c r="P186" s="93">
        <f t="shared" ca="1" si="94"/>
        <v>92.930273609885262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IFERROR(__xludf.DUMMYFUNCTION("IMPORTRANGE(""https://docs.google.com/spreadsheets/d/1MeEWN-I1oV_STSDYn1IFDPWt_1FKiwhDph83XaGc0o0/edit?usp=sharing"",""งบพรบ!CR58"")"),0)</f>
        <v>0</v>
      </c>
      <c r="M189" s="93">
        <f ca="1">IFERROR(__xludf.DUMMYFUNCTION("IMPORTRANGE(""https://docs.google.com/spreadsheets/d/1MeEWN-I1oV_STSDYn1IFDPWt_1FKiwhDph83XaGc0o0/edit?usp=sharing"",""งบพรบ!CU58"")"),0)</f>
        <v>0</v>
      </c>
      <c r="N189" s="93">
        <f ca="1">IFERROR(__xludf.DUMMYFUNCTION("IMPORTRANGE(""https://docs.google.com/spreadsheets/d/1MeEWN-I1oV_STSDYn1IFDPWt_1FKiwhDph83XaGc0o0/edit?usp=sharing"",""งบพรบ!CW58"")"),0)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IFERROR(__xludf.DUMMYFUNCTION("IMPORTRANGE(""https://docs.google.com/spreadsheets/d/1QqKyyYR6Q21VydFLVH3TRQUabQu_ym0Zz7PgGX0-kHA/edit?usp=sharing"",""แผน!AE58"")"),1000)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IFERROR(__xludf.DUMMYFUNCTION("IMPORTRANGE(""https://docs.google.com/spreadsheets/d/1QqKyyYR6Q21VydFLVH3TRQUabQu_ym0Zz7PgGX0-kHA/edit?usp=sharing"",""แผน!AF58"")"),8000)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IFERROR(__xludf.DUMMYFUNCTION("IMPORTRANGE(""https://docs.google.com/spreadsheets/d/1QqKyyYR6Q21VydFLVH3TRQUabQu_ym0Zz7PgGX0-kHA/edit?usp=sharing"",""แผน!AG58"")"),4000)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IFERROR(__xludf.DUMMYFUNCTION("IMPORTRANGE(""https://docs.google.com/spreadsheets/d/1QqKyyYR6Q21VydFLVH3TRQUabQu_ym0Zz7PgGX0-kHA/edit?usp=sharing"",""แผน!AI58"")"),1)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IFERROR(__xludf.DUMMYFUNCTION("IMPORTRANGE(""https://docs.google.com/spreadsheets/d/1QqKyyYR6Q21VydFLVH3TRQUabQu_ym0Zz7PgGX0-kHA/edit?usp=sharing"",""แผน!AK58"")"),1000)</f>
        <v>1000</v>
      </c>
      <c r="M210" s="497"/>
      <c r="N210" s="284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IFERROR(__xludf.DUMMYFUNCTION("IMPORTRANGE(""https://docs.google.com/spreadsheets/d/1QqKyyYR6Q21VydFLVH3TRQUabQu_ym0Zz7PgGX0-kHA/edit?usp=sharing"",""แผน!AL58"")"),5000)</f>
        <v>5000</v>
      </c>
      <c r="M211" s="497"/>
      <c r="N211" s="284">
        <v>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IFERROR(__xludf.DUMMYFUNCTION("IMPORTRANGE(""https://docs.google.com/spreadsheets/d/1QqKyyYR6Q21VydFLVH3TRQUabQu_ym0Zz7PgGX0-kHA/edit?usp=sharing"",""แผน!AM58"")"),8000)</f>
        <v>8000</v>
      </c>
      <c r="M212" s="497"/>
      <c r="N212" s="284">
        <v>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3200</v>
      </c>
      <c r="J216" s="272">
        <f t="shared" si="103"/>
        <v>3200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5600</v>
      </c>
      <c r="M217" s="155"/>
      <c r="N217" s="155">
        <f>N218+N219+N220</f>
        <v>2760</v>
      </c>
      <c r="O217" s="155">
        <f ca="1">IF(L217&gt;0,N217*100/L217,0)</f>
        <v>49.285714285714285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IFERROR(__xludf.DUMMYFUNCTION("IMPORTRANGE(""https://docs.google.com/spreadsheets/d/1QqKyyYR6Q21VydFLVH3TRQUabQu_ym0Zz7PgGX0-kHA/edit?usp=sharing"",""แผน!AP58"")"),3000)</f>
        <v>3000</v>
      </c>
      <c r="M218" s="497"/>
      <c r="N218" s="284">
        <v>2760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IFERROR(__xludf.DUMMYFUNCTION("IMPORTRANGE(""https://docs.google.com/spreadsheets/d/1QqKyyYR6Q21VydFLVH3TRQUabQu_ym0Zz7PgGX0-kHA/edit?usp=sharing"",""แผน!AQ58"")"),2600)</f>
        <v>2600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IFERROR(__xludf.DUMMYFUNCTION("IMPORTRANGE(""https://docs.google.com/spreadsheets/d/1QqKyyYR6Q21VydFLVH3TRQUabQu_ym0Zz7PgGX0-kHA/edit?usp=sharing"",""แผน!AT58"")"),3200)</f>
        <v>3200</v>
      </c>
      <c r="J223" s="215">
        <v>3200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IFERROR(__xludf.DUMMYFUNCTION("IMPORTRANGE(""https://docs.google.com/spreadsheets/d/1QqKyyYR6Q21VydFLVH3TRQUabQu_ym0Zz7PgGX0-kHA/edit?usp=sharing"",""แผน!AT58"")"),3200)</f>
        <v>3200</v>
      </c>
      <c r="J224" s="215">
        <v>3200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IFERROR(__xludf.DUMMYFUNCTION("IMPORTRANGE(""https://docs.google.com/spreadsheets/d/1QqKyyYR6Q21VydFLVH3TRQUabQu_ym0Zz7PgGX0-kHA/edit?usp=sharing"",""แผน!AV58"")"),0)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IFERROR(__xludf.DUMMYFUNCTION("IMPORTRANGE(""https://docs.google.com/spreadsheets/d/1QqKyyYR6Q21VydFLVH3TRQUabQu_ym0Zz7PgGX0-kHA/edit?usp=sharing"",""แผน!AW58"")"),0)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IFERROR(__xludf.DUMMYFUNCTION("IMPORTRANGE(""https://docs.google.com/spreadsheets/d/1QqKyyYR6Q21VydFLVH3TRQUabQu_ym0Zz7PgGX0-kHA/edit?usp=sharing"",""แผน!AX58"")"),0)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IFERROR(__xludf.DUMMYFUNCTION("IMPORTRANGE(""https://docs.google.com/spreadsheets/d/1QqKyyYR6Q21VydFLVH3TRQUabQu_ym0Zz7PgGX0-kHA/edit?usp=sharing"",""แผน!AY58"")"),0)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IFERROR(__xludf.DUMMYFUNCTION("IMPORTRANGE(""https://docs.google.com/spreadsheets/d/1QqKyyYR6Q21VydFLVH3TRQUabQu_ym0Zz7PgGX0-kHA/edit?usp=sharing"",""แผน!AZ58"")"),0)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IFERROR(__xludf.DUMMYFUNCTION("IMPORTRANGE(""https://docs.google.com/spreadsheets/d/1QqKyyYR6Q21VydFLVH3TRQUabQu_ym0Zz7PgGX0-kHA/edit?usp=sharing"",""แผน!BA58"")"),0)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IFERROR(__xludf.DUMMYFUNCTION("IMPORTRANGE(""https://docs.google.com/spreadsheets/d/1QqKyyYR6Q21VydFLVH3TRQUabQu_ym0Zz7PgGX0-kHA/edit?usp=sharing"",""แผน!BB58"")"),0)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IFERROR(__xludf.DUMMYFUNCTION("IMPORTRANGE(""https://docs.google.com/spreadsheets/d/1QqKyyYR6Q21VydFLVH3TRQUabQu_ym0Zz7PgGX0-kHA/edit?usp=sharing"",""แผน!BC58"")"),0)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23895</v>
      </c>
      <c r="O261" s="155">
        <f t="shared" ref="O261:O269" ca="1" si="117">IF(L261&gt;0,N261*100/L261,0)</f>
        <v>88.828996282527882</v>
      </c>
      <c r="P261" s="155">
        <f t="shared" ref="P261:P269" ca="1" si="118">IF(M261&gt;0,N261*100/M261,0)</f>
        <v>88.828996282527882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23895</v>
      </c>
      <c r="O263" s="93">
        <f t="shared" ca="1" si="117"/>
        <v>88.828996282527882</v>
      </c>
      <c r="P263" s="93">
        <f t="shared" ca="1" si="118"/>
        <v>88.828996282527882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23895</v>
      </c>
      <c r="O264" s="497">
        <f t="shared" ca="1" si="117"/>
        <v>88.828996282527882</v>
      </c>
      <c r="P264" s="497">
        <f t="shared" ca="1" si="118"/>
        <v>88.828996282527882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IFERROR(__xludf.DUMMYFUNCTION("IMPORTRANGE(""https://docs.google.com/spreadsheets/d/1MeEWN-I1oV_STSDYn1IFDPWt_1FKiwhDph83XaGc0o0/edit?usp=sharing"",""งบพรบ!CY58"")"),26900)</f>
        <v>26900</v>
      </c>
      <c r="M266" s="93">
        <f ca="1">IFERROR(__xludf.DUMMYFUNCTION("IMPORTRANGE(""https://docs.google.com/spreadsheets/d/1MeEWN-I1oV_STSDYn1IFDPWt_1FKiwhDph83XaGc0o0/edit?usp=sharing"",""งบพรบ!DD58"")"),26900)</f>
        <v>26900</v>
      </c>
      <c r="N266" s="93">
        <f ca="1">IFERROR(__xludf.DUMMYFUNCTION("IMPORTRANGE(""https://docs.google.com/spreadsheets/d/1MeEWN-I1oV_STSDYn1IFDPWt_1FKiwhDph83XaGc0o0/edit?usp=sharing"",""งบพรบ!DF58"")"),23895)</f>
        <v>23895</v>
      </c>
      <c r="O266" s="93">
        <f t="shared" ca="1" si="117"/>
        <v>88.828996282527882</v>
      </c>
      <c r="P266" s="93">
        <f t="shared" ca="1" si="118"/>
        <v>88.828996282527882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IFERROR(__xludf.DUMMYFUNCTION("IMPORTRANGE(""https://docs.google.com/spreadsheets/d/1MeEWN-I1oV_STSDYn1IFDPWt_1FKiwhDph83XaGc0o0/edit?usp=sharing"",""งบพรบ!DB58"")"),0)</f>
        <v>0</v>
      </c>
      <c r="M269" s="93">
        <f ca="1">IFERROR(__xludf.DUMMYFUNCTION("IMPORTRANGE(""https://docs.google.com/spreadsheets/d/1MeEWN-I1oV_STSDYn1IFDPWt_1FKiwhDph83XaGc0o0/edit?usp=sharing"",""งบพรบ!DE58"")"),0)</f>
        <v>0</v>
      </c>
      <c r="N269" s="93">
        <f ca="1">IFERROR(__xludf.DUMMYFUNCTION("IMPORTRANGE(""https://docs.google.com/spreadsheets/d/1MeEWN-I1oV_STSDYn1IFDPWt_1FKiwhDph83XaGc0o0/edit?usp=sharing"",""งบพรบ!DG58"")"),0)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IFERROR(__xludf.DUMMYFUNCTION("IMPORTRANGE(""https://docs.google.com/spreadsheets/d/1MeEWN-I1oV_STSDYn1IFDPWt_1FKiwhDph83XaGc0o0/edit?usp=sharing"",""งบพรบ!DI58"")"),0)</f>
        <v>0</v>
      </c>
      <c r="M282" s="93">
        <f ca="1">IFERROR(__xludf.DUMMYFUNCTION("IMPORTRANGE(""https://docs.google.com/spreadsheets/d/1MeEWN-I1oV_STSDYn1IFDPWt_1FKiwhDph83XaGc0o0/edit?usp=sharing"",""งบพรบ!DN58"")"),0)</f>
        <v>0</v>
      </c>
      <c r="N282" s="93">
        <f ca="1">IFERROR(__xludf.DUMMYFUNCTION("IMPORTRANGE(""https://docs.google.com/spreadsheets/d/1MeEWN-I1oV_STSDYn1IFDPWt_1FKiwhDph83XaGc0o0/edit?usp=sharing"",""งบพรบ!DP58"")"),0)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IFERROR(__xludf.DUMMYFUNCTION("IMPORTRANGE(""https://docs.google.com/spreadsheets/d/1MeEWN-I1oV_STSDYn1IFDPWt_1FKiwhDph83XaGc0o0/edit?usp=sharing"",""งบพรบ!DL58"")"),0)</f>
        <v>0</v>
      </c>
      <c r="M285" s="93">
        <f ca="1">IFERROR(__xludf.DUMMYFUNCTION("IMPORTRANGE(""https://docs.google.com/spreadsheets/d/1MeEWN-I1oV_STSDYn1IFDPWt_1FKiwhDph83XaGc0o0/edit?usp=sharing"",""งบพรบ!DO58"")"),0)</f>
        <v>0</v>
      </c>
      <c r="N285" s="93">
        <f ca="1">IFERROR(__xludf.DUMMYFUNCTION("IMPORTRANGE(""https://docs.google.com/spreadsheets/d/1MeEWN-I1oV_STSDYn1IFDPWt_1FKiwhDph83XaGc0o0/edit?usp=sharing"",""งบพรบ!DQ58"")"),0)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IFERROR(__xludf.DUMMYFUNCTION("IMPORTRANGE(""https://docs.google.com/spreadsheets/d/1QqKyyYR6Q21VydFLVH3TRQUabQu_ym0Zz7PgGX0-kHA/edit?usp=sharing"",""แผน!EC58"")"),0)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IFERROR(__xludf.DUMMYFUNCTION("IMPORTRANGE(""https://docs.google.com/spreadsheets/d/1QqKyyYR6Q21VydFLVH3TRQUabQu_ym0Zz7PgGX0-kHA/edit?usp=sharing"",""แผน!EB58"")"),0)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IFERROR(__xludf.DUMMYFUNCTION("IMPORTRANGE(""https://docs.google.com/spreadsheets/d/1QqKyyYR6Q21VydFLVH3TRQUabQu_ym0Zz7PgGX0-kHA/edit?usp=sharing"",""แผน!EB58"")"),0)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IFERROR(__xludf.DUMMYFUNCTION("IMPORTRANGE(""https://docs.google.com/spreadsheets/d/1QqKyyYR6Q21VydFLVH3TRQUabQu_ym0Zz7PgGX0-kHA/edit?usp=sharing"",""แผน!EB58"")"),0)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IFERROR(__xludf.DUMMYFUNCTION("IMPORTRANGE(""https://docs.google.com/spreadsheets/d/1QqKyyYR6Q21VydFLVH3TRQUabQu_ym0Zz7PgGX0-kHA/edit?usp=sharing"",""แผน!EB58"")"),0)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IFERROR(__xludf.DUMMYFUNCTION("IMPORTRANGE(""https://docs.google.com/spreadsheets/d/1QqKyyYR6Q21VydFLVH3TRQUabQu_ym0Zz7PgGX0-kHA/edit?usp=sharing"",""แผน!EB58"")"),0)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IFERROR(__xludf.DUMMYFUNCTION("IMPORTRANGE(""https://docs.google.com/spreadsheets/d/1MeEWN-I1oV_STSDYn1IFDPWt_1FKiwhDph83XaGc0o0/edit?usp=sharing"",""งบพรบ!DS58"")"),0)</f>
        <v>0</v>
      </c>
      <c r="M303" s="93">
        <f ca="1">IFERROR(__xludf.DUMMYFUNCTION("IMPORTRANGE(""https://docs.google.com/spreadsheets/d/1MeEWN-I1oV_STSDYn1IFDPWt_1FKiwhDph83XaGc0o0/edit?usp=sharing"",""งบพรบ!DX58"")"),0)</f>
        <v>0</v>
      </c>
      <c r="N303" s="93">
        <f ca="1">IFERROR(__xludf.DUMMYFUNCTION("IMPORTRANGE(""https://docs.google.com/spreadsheets/d/1MeEWN-I1oV_STSDYn1IFDPWt_1FKiwhDph83XaGc0o0/edit?usp=sharing"",""งบพรบ!DZ58"")"),0)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IFERROR(__xludf.DUMMYFUNCTION("IMPORTRANGE(""https://docs.google.com/spreadsheets/d/1MeEWN-I1oV_STSDYn1IFDPWt_1FKiwhDph83XaGc0o0/edit?usp=sharing"",""งบพรบ!DV58"")"),0)</f>
        <v>0</v>
      </c>
      <c r="M306" s="93">
        <f ca="1">IFERROR(__xludf.DUMMYFUNCTION("IMPORTRANGE(""https://docs.google.com/spreadsheets/d/1MeEWN-I1oV_STSDYn1IFDPWt_1FKiwhDph83XaGc0o0/edit?usp=sharing"",""งบพรบ!DY58"")"),0)</f>
        <v>0</v>
      </c>
      <c r="N306" s="93">
        <f ca="1">IFERROR(__xludf.DUMMYFUNCTION("IMPORTRANGE(""https://docs.google.com/spreadsheets/d/1MeEWN-I1oV_STSDYn1IFDPWt_1FKiwhDph83XaGc0o0/edit?usp=sharing"",""งบพรบ!EA58"")"),0)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IFERROR(__xludf.DUMMYFUNCTION("IMPORTRANGE(""https://docs.google.com/spreadsheets/d/1MeEWN-I1oV_STSDYn1IFDPWt_1FKiwhDph83XaGc0o0/edit?usp=sharing"",""งบพรบ!EC58"")"),0)</f>
        <v>0</v>
      </c>
      <c r="M320" s="93">
        <f ca="1">IFERROR(__xludf.DUMMYFUNCTION("IMPORTRANGE(""https://docs.google.com/spreadsheets/d/1MeEWN-I1oV_STSDYn1IFDPWt_1FKiwhDph83XaGc0o0/edit?usp=sharing"",""งบพรบ!EH58"")"),0)</f>
        <v>0</v>
      </c>
      <c r="N320" s="93">
        <f ca="1">IFERROR(__xludf.DUMMYFUNCTION("IMPORTRANGE(""https://docs.google.com/spreadsheets/d/1MeEWN-I1oV_STSDYn1IFDPWt_1FKiwhDph83XaGc0o0/edit?usp=sharing"",""งบพรบ!EJ58"")"),0)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IFERROR(__xludf.DUMMYFUNCTION("IMPORTRANGE(""https://docs.google.com/spreadsheets/d/1MeEWN-I1oV_STSDYn1IFDPWt_1FKiwhDph83XaGc0o0/edit?usp=sharing"",""งบพรบ!EF58"")"),0)</f>
        <v>0</v>
      </c>
      <c r="M323" s="93">
        <f ca="1">IFERROR(__xludf.DUMMYFUNCTION("IMPORTRANGE(""https://docs.google.com/spreadsheets/d/1MeEWN-I1oV_STSDYn1IFDPWt_1FKiwhDph83XaGc0o0/edit?usp=sharing"",""งบพรบ!EI58"")"),0)</f>
        <v>0</v>
      </c>
      <c r="N323" s="93">
        <f ca="1">IFERROR(__xludf.DUMMYFUNCTION("IMPORTRANGE(""https://docs.google.com/spreadsheets/d/1MeEWN-I1oV_STSDYn1IFDPWt_1FKiwhDph83XaGc0o0/edit?usp=sharing"",""งบพรบ!EK58"")"),0)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IFERROR(__xludf.DUMMYFUNCTION("IMPORTRANGE(""https://docs.google.com/spreadsheets/d/1QqKyyYR6Q21VydFLVH3TRQUabQu_ym0Zz7PgGX0-kHA/edit?usp=sharing"",""แผน!EG58"")"),600)</f>
        <v>600</v>
      </c>
      <c r="J327" s="444">
        <f ca="1">J338+J341+J342+J343</f>
        <v>2198</v>
      </c>
      <c r="K327" s="445">
        <f ca="1">IF(I327&gt;0,J327*100/I327,0)</f>
        <v>366.33333333333331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159500</v>
      </c>
      <c r="N328" s="155">
        <f t="shared" ca="1" si="149"/>
        <v>126792</v>
      </c>
      <c r="O328" s="155">
        <f t="shared" ref="O328:O336" ca="1" si="150">IF(L328&gt;0,N328*100/L328,0)</f>
        <v>80.759235668789813</v>
      </c>
      <c r="P328" s="155">
        <f t="shared" ref="P328:P336" ca="1" si="151">IF(M328&gt;0,N328*100/M328,0)</f>
        <v>79.493416927899688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159500</v>
      </c>
      <c r="N330" s="93">
        <f t="shared" ca="1" si="152"/>
        <v>126792</v>
      </c>
      <c r="O330" s="93">
        <f t="shared" ca="1" si="150"/>
        <v>80.759235668789813</v>
      </c>
      <c r="P330" s="93">
        <f t="shared" ca="1" si="151"/>
        <v>79.493416927899688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159500</v>
      </c>
      <c r="N331" s="497">
        <f t="shared" ca="1" si="153"/>
        <v>126792</v>
      </c>
      <c r="O331" s="497">
        <f t="shared" ca="1" si="150"/>
        <v>80.759235668789813</v>
      </c>
      <c r="P331" s="497">
        <f t="shared" ca="1" si="151"/>
        <v>79.493416927899688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IFERROR(__xludf.DUMMYFUNCTION("IMPORTRANGE(""https://docs.google.com/spreadsheets/d/1MeEWN-I1oV_STSDYn1IFDPWt_1FKiwhDph83XaGc0o0/edit?usp=sharing"",""งบพรบ!EM58"")"),157000)</f>
        <v>157000</v>
      </c>
      <c r="M333" s="93">
        <f ca="1">IFERROR(__xludf.DUMMYFUNCTION("IMPORTRANGE(""https://docs.google.com/spreadsheets/d/1MeEWN-I1oV_STSDYn1IFDPWt_1FKiwhDph83XaGc0o0/edit?usp=sharing"",""งบพรบ!ER58"")"),159500)</f>
        <v>159500</v>
      </c>
      <c r="N333" s="93">
        <f ca="1">IFERROR(__xludf.DUMMYFUNCTION("IMPORTRANGE(""https://docs.google.com/spreadsheets/d/1MeEWN-I1oV_STSDYn1IFDPWt_1FKiwhDph83XaGc0o0/edit?usp=sharing"",""งบพรบ!ET58"")"),126792)</f>
        <v>126792</v>
      </c>
      <c r="O333" s="93">
        <f t="shared" ca="1" si="150"/>
        <v>80.759235668789813</v>
      </c>
      <c r="P333" s="93">
        <f t="shared" ca="1" si="151"/>
        <v>79.493416927899688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IFERROR(__xludf.DUMMYFUNCTION("IMPORTRANGE(""https://docs.google.com/spreadsheets/d/1MeEWN-I1oV_STSDYn1IFDPWt_1FKiwhDph83XaGc0o0/edit?usp=sharing"",""งบพรบ!EP58"")"),0)</f>
        <v>0</v>
      </c>
      <c r="M336" s="93">
        <f ca="1">IFERROR(__xludf.DUMMYFUNCTION("IMPORTRANGE(""https://docs.google.com/spreadsheets/d/1MeEWN-I1oV_STSDYn1IFDPWt_1FKiwhDph83XaGc0o0/edit?usp=sharing"",""งบพรบ!ES58"")"),0)</f>
        <v>0</v>
      </c>
      <c r="N336" s="93">
        <f ca="1">IFERROR(__xludf.DUMMYFUNCTION("IMPORTRANGE(""https://docs.google.com/spreadsheets/d/1MeEWN-I1oV_STSDYn1IFDPWt_1FKiwhDph83XaGc0o0/edit?usp=sharing"",""งบพรบ!EU58"")"),0)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IFERROR(__xludf.DUMMYFUNCTION("IMPORTRANGE(""https://docs.google.com/spreadsheets/d/1QqKyyYR6Q21VydFLVH3TRQUabQu_ym0Zz7PgGX0-kHA/edit?usp=sharing"",""แผน!EG58"")"),600)</f>
        <v>600</v>
      </c>
      <c r="J338" s="270">
        <f ca="1">IFERROR(__xludf.DUMMYFUNCTION("IMPORTRANGE(""https://docs.google.com/spreadsheets/d/1kVcqe37tkHyjCSG3S0O1AXqVkqjo8mSIZil3BcpIysc/edit?usp=sharing"",""ศูนย์!D58"")"),2141)</f>
        <v>2141</v>
      </c>
      <c r="K338" s="497">
        <f ca="1">IF(I338&gt;0,J338*100/I338,0)</f>
        <v>356.83333333333331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IFERROR(__xludf.DUMMYFUNCTION("IMPORTRANGE(""https://docs.google.com/spreadsheets/d/1QqKyyYR6Q21VydFLVH3TRQUabQu_ym0Zz7PgGX0-kHA/edit?usp=sharing"",""แผน!EH58"")"),2)</f>
        <v>2</v>
      </c>
      <c r="J340" s="270">
        <f ca="1">IFERROR(__xludf.DUMMYFUNCTION("IMPORTRANGE(""https://docs.google.com/spreadsheets/d/1kVcqe37tkHyjCSG3S0O1AXqVkqjo8mSIZil3BcpIysc/edit?usp=sharing"",""ศูนย์!E58"")"),2)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IFERROR(__xludf.DUMMYFUNCTION("IMPORTRANGE(""https://docs.google.com/spreadsheets/d/1kVcqe37tkHyjCSG3S0O1AXqVkqjo8mSIZil3BcpIysc/edit?usp=sharing"",""ศูนย์!F58"")"),56)</f>
        <v>56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IFERROR(__xludf.DUMMYFUNCTION("IMPORTRANGE(""https://docs.google.com/spreadsheets/d/1kVcqe37tkHyjCSG3S0O1AXqVkqjo8mSIZil3BcpIysc/edit?usp=sharing"",""ศูนย์!G58"")"),1)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578780</v>
      </c>
      <c r="M345" s="155">
        <f t="shared" ca="1" si="155"/>
        <v>681480</v>
      </c>
      <c r="N345" s="155">
        <f t="shared" ca="1" si="155"/>
        <v>554356</v>
      </c>
      <c r="O345" s="155">
        <f t="shared" ref="O345:O353" ca="1" si="156">IF(L345&gt;0,N345*100/L345,0)</f>
        <v>95.780089153046063</v>
      </c>
      <c r="P345" s="155">
        <f t="shared" ref="P345:P353" ca="1" si="157">IF(M345&gt;0,N345*100/M345,0)</f>
        <v>81.345894230204848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578780</v>
      </c>
      <c r="M347" s="93">
        <f t="shared" ca="1" si="158"/>
        <v>681480</v>
      </c>
      <c r="N347" s="93">
        <f t="shared" ca="1" si="158"/>
        <v>554356</v>
      </c>
      <c r="O347" s="93">
        <f t="shared" ca="1" si="156"/>
        <v>95.780089153046063</v>
      </c>
      <c r="P347" s="93">
        <f t="shared" ca="1" si="157"/>
        <v>81.345894230204848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562780</v>
      </c>
      <c r="M348" s="497">
        <f t="shared" ca="1" si="159"/>
        <v>666980</v>
      </c>
      <c r="N348" s="497">
        <f t="shared" ca="1" si="159"/>
        <v>539856</v>
      </c>
      <c r="O348" s="497">
        <f t="shared" ca="1" si="156"/>
        <v>95.926649845410282</v>
      </c>
      <c r="P348" s="497">
        <f t="shared" ca="1" si="157"/>
        <v>80.940358031725083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IFERROR(__xludf.DUMMYFUNCTION("IMPORTRANGE(""https://docs.google.com/spreadsheets/d/1MeEWN-I1oV_STSDYn1IFDPWt_1FKiwhDph83XaGc0o0/edit?usp=sharing"",""งบพรบ!EW58"")"),562780)</f>
        <v>562780</v>
      </c>
      <c r="M350" s="93">
        <f ca="1">IFERROR(__xludf.DUMMYFUNCTION("IMPORTRANGE(""https://docs.google.com/spreadsheets/d/1MeEWN-I1oV_STSDYn1IFDPWt_1FKiwhDph83XaGc0o0/edit?usp=sharing"",""งบพรบ!FB58"")"),666980)</f>
        <v>666980</v>
      </c>
      <c r="N350" s="93">
        <f ca="1">IFERROR(__xludf.DUMMYFUNCTION("IMPORTRANGE(""https://docs.google.com/spreadsheets/d/1MeEWN-I1oV_STSDYn1IFDPWt_1FKiwhDph83XaGc0o0/edit?usp=sharing"",""งบพรบ!FD58"")"),539856)</f>
        <v>539856</v>
      </c>
      <c r="O350" s="93">
        <f t="shared" ca="1" si="156"/>
        <v>95.926649845410282</v>
      </c>
      <c r="P350" s="93">
        <f t="shared" ca="1" si="157"/>
        <v>80.940358031725083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16000</v>
      </c>
      <c r="M351" s="497">
        <f t="shared" ca="1" si="160"/>
        <v>14500</v>
      </c>
      <c r="N351" s="497">
        <f t="shared" ca="1" si="160"/>
        <v>14500</v>
      </c>
      <c r="O351" s="497">
        <f t="shared" ca="1" si="156"/>
        <v>90.625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IFERROR(__xludf.DUMMYFUNCTION("IMPORTRANGE(""https://docs.google.com/spreadsheets/d/1MeEWN-I1oV_STSDYn1IFDPWt_1FKiwhDph83XaGc0o0/edit?usp=sharing"",""งบพรบ!EZ58"")"),16000)</f>
        <v>16000</v>
      </c>
      <c r="M353" s="93">
        <f ca="1">IFERROR(__xludf.DUMMYFUNCTION("IMPORTRANGE(""https://docs.google.com/spreadsheets/d/1MeEWN-I1oV_STSDYn1IFDPWt_1FKiwhDph83XaGc0o0/edit?usp=sharing"",""งบพรบ!FC58"")"),14500)</f>
        <v>14500</v>
      </c>
      <c r="N353" s="93">
        <f ca="1">IFERROR(__xludf.DUMMYFUNCTION("IMPORTRANGE(""https://docs.google.com/spreadsheets/d/1MeEWN-I1oV_STSDYn1IFDPWt_1FKiwhDph83XaGc0o0/edit?usp=sharing"",""งบพรบ!FE58"")"),14500)</f>
        <v>14500</v>
      </c>
      <c r="O353" s="93">
        <f t="shared" ca="1" si="156"/>
        <v>90.625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IFERROR(__xludf.DUMMYFUNCTION("IMPORTRANGE(""https://docs.google.com/spreadsheets/d/1QqKyyYR6Q21VydFLVH3TRQUabQu_ym0Zz7PgGX0-kHA/edit?usp=sharing"",""แผน!EP58"")"),130)</f>
        <v>130</v>
      </c>
      <c r="J355" s="464">
        <f ca="1">J362</f>
        <v>110</v>
      </c>
      <c r="K355" s="465">
        <f ca="1">IF(I355&gt;0,J355*100/I355,0)</f>
        <v>84.615384615384613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IFERROR(__xludf.DUMMYFUNCTION("IMPORTRANGE(""https://docs.google.com/spreadsheets/d/1XWAQStnk-4SwqDmLtmXYiTMKHgktTP8We1SCoS47DrQ/edit?usp=sharing"",""จัดที่ดิน!W58"")"),130)</f>
        <v>130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IFERROR(__xludf.DUMMYFUNCTION("IMPORTRANGE(""https://docs.google.com/spreadsheets/d/1QqKyyYR6Q21VydFLVH3TRQUabQu_ym0Zz7PgGX0-kHA/edit?usp=sharing"",""แผน!EO58"")"),2000)</f>
        <v>2000</v>
      </c>
      <c r="J359" s="270">
        <f ca="1">IFERROR(__xludf.DUMMYFUNCTION("IMPORTRANGE(""https://docs.google.com/spreadsheets/d/1XWAQStnk-4SwqDmLtmXYiTMKHgktTP8We1SCoS47DrQ/edit?usp=sharing"",""จัดที่ดิน!X58"")"),1571.08)</f>
        <v>1571.08</v>
      </c>
      <c r="K359" s="497">
        <f t="shared" ca="1" si="161"/>
        <v>78.554000000000002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IFERROR(__xludf.DUMMYFUNCTION("IMPORTRANGE(""https://docs.google.com/spreadsheets/d/1QqKyyYR6Q21VydFLVH3TRQUabQu_ym0Zz7PgGX0-kHA/edit?usp=sharing"",""แผน!EP58"")"),130)</f>
        <v>130</v>
      </c>
      <c r="J360" s="270">
        <f ca="1">IFERROR(__xludf.DUMMYFUNCTION("IMPORTRANGE(""https://docs.google.com/spreadsheets/d/1XWAQStnk-4SwqDmLtmXYiTMKHgktTP8We1SCoS47DrQ/edit?usp=sharing"",""จัดที่ดิน!Y58"")"),118)</f>
        <v>118</v>
      </c>
      <c r="K360" s="497">
        <f t="shared" ca="1" si="161"/>
        <v>90.769230769230774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IFERROR(__xludf.DUMMYFUNCTION("IMPORTRANGE(""https://docs.google.com/spreadsheets/d/1XWAQStnk-4SwqDmLtmXYiTMKHgktTP8We1SCoS47DrQ/edit?usp=sharing"",""จัดที่ดิน!Z58"")"),1373.09)</f>
        <v>1373.09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IFERROR(__xludf.DUMMYFUNCTION("IMPORTRANGE(""https://docs.google.com/spreadsheets/d/1QqKyyYR6Q21VydFLVH3TRQUabQu_ym0Zz7PgGX0-kHA/edit?usp=sharing"",""แผน!EP58"")"),130)</f>
        <v>130</v>
      </c>
      <c r="J362" s="270">
        <f ca="1">IFERROR(__xludf.DUMMYFUNCTION("IMPORTRANGE(""https://docs.google.com/spreadsheets/d/1XWAQStnk-4SwqDmLtmXYiTMKHgktTP8We1SCoS47DrQ/edit?usp=sharing"",""จัดที่ดิน!AA58"")"),110)</f>
        <v>110</v>
      </c>
      <c r="K362" s="497">
        <f t="shared" ca="1" si="161"/>
        <v>84.615384615384613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IFERROR(__xludf.DUMMYFUNCTION("IMPORTRANGE(""https://docs.google.com/spreadsheets/d/1XWAQStnk-4SwqDmLtmXYiTMKHgktTP8We1SCoS47DrQ/edit?usp=sharing"",""จัดที่ดิน!AB58"")"),1238.57)</f>
        <v>1238.57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230</v>
      </c>
      <c r="J364" s="478">
        <f t="shared" ca="1" si="162"/>
        <v>365</v>
      </c>
      <c r="K364" s="479">
        <f t="shared" ca="1" si="161"/>
        <v>158.69565217391303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IFERROR(__xludf.DUMMYFUNCTION("IMPORTRANGE(""https://docs.google.com/spreadsheets/d/1QqKyyYR6Q21VydFLVH3TRQUabQu_ym0Zz7PgGX0-kHA/edit?usp=sharing"",""แผน!EJ58"")"),30)</f>
        <v>30</v>
      </c>
      <c r="J365" s="490">
        <f ca="1">J372</f>
        <v>34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IFERROR(__xludf.DUMMYFUNCTION("IMPORTRANGE(""https://docs.google.com/spreadsheets/d/1XWAQStnk-4SwqDmLtmXYiTMKHgktTP8We1SCoS47DrQ/edit?usp=sharing"",""จัดที่ดิน!E58"")"),50)</f>
        <v>50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IFERROR(__xludf.DUMMYFUNCTION("IMPORTRANGE(""https://docs.google.com/spreadsheets/d/1QqKyyYR6Q21VydFLVH3TRQUabQu_ym0Zz7PgGX0-kHA/edit?usp=sharing"",""แผน!EI58"")"),1000)</f>
        <v>1000</v>
      </c>
      <c r="J369" s="270">
        <f ca="1">IFERROR(__xludf.DUMMYFUNCTION("IMPORTRANGE(""https://docs.google.com/spreadsheets/d/1XWAQStnk-4SwqDmLtmXYiTMKHgktTP8We1SCoS47DrQ/edit?usp=sharing"",""จัดที่ดิน!F58"")"),832.32)</f>
        <v>832.32</v>
      </c>
      <c r="K369" s="497">
        <f t="shared" ca="1" si="163"/>
        <v>83.231999999999999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IFERROR(__xludf.DUMMYFUNCTION("IMPORTRANGE(""https://docs.google.com/spreadsheets/d/1QqKyyYR6Q21VydFLVH3TRQUabQu_ym0Zz7PgGX0-kHA/edit?usp=sharing"",""แผน!EJ58"")"),30)</f>
        <v>30</v>
      </c>
      <c r="J370" s="270">
        <f ca="1">IFERROR(__xludf.DUMMYFUNCTION("IMPORTRANGE(""https://docs.google.com/spreadsheets/d/1XWAQStnk-4SwqDmLtmXYiTMKHgktTP8We1SCoS47DrQ/edit?usp=sharing"",""จัดที่ดิน!G58"")"),42)</f>
        <v>42</v>
      </c>
      <c r="K370" s="497">
        <f t="shared" ca="1" si="163"/>
        <v>140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IFERROR(__xludf.DUMMYFUNCTION("IMPORTRANGE(""https://docs.google.com/spreadsheets/d/1XWAQStnk-4SwqDmLtmXYiTMKHgktTP8We1SCoS47DrQ/edit?usp=sharing"",""จัดที่ดิน!H58"")"),673.36)</f>
        <v>673.36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IFERROR(__xludf.DUMMYFUNCTION("IMPORTRANGE(""https://docs.google.com/spreadsheets/d/1QqKyyYR6Q21VydFLVH3TRQUabQu_ym0Zz7PgGX0-kHA/edit?usp=sharing"",""แผน!EJ58"")"),30)</f>
        <v>30</v>
      </c>
      <c r="J372" s="270">
        <f ca="1">IFERROR(__xludf.DUMMYFUNCTION("IMPORTRANGE(""https://docs.google.com/spreadsheets/d/1XWAQStnk-4SwqDmLtmXYiTMKHgktTP8We1SCoS47DrQ/edit?usp=sharing"",""จัดที่ดิน!I58"")"),34)</f>
        <v>34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IFERROR(__xludf.DUMMYFUNCTION("IMPORTRANGE(""https://docs.google.com/spreadsheets/d/1XWAQStnk-4SwqDmLtmXYiTMKHgktTP8We1SCoS47DrQ/edit?usp=sharing"",""จัดที่ดิน!J58"")"),538.84)</f>
        <v>538.84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IFERROR(__xludf.DUMMYFUNCTION("IMPORTRANGE(""https://docs.google.com/spreadsheets/d/1QqKyyYR6Q21VydFLVH3TRQUabQu_ym0Zz7PgGX0-kHA/edit?usp=sharing"",""แผน!EU58"")"),200)</f>
        <v>200</v>
      </c>
      <c r="J374" s="490">
        <f ca="1">J381</f>
        <v>331</v>
      </c>
      <c r="K374" s="491">
        <f t="shared" ca="1" si="163"/>
        <v>165.5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IFERROR(__xludf.DUMMYFUNCTION("IMPORTRANGE(""https://docs.google.com/spreadsheets/d/1XWAQStnk-4SwqDmLtmXYiTMKHgktTP8We1SCoS47DrQ/edit?usp=sharing"",""จัดที่ดิน!AH58"")"),80)</f>
        <v>80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IFERROR(__xludf.DUMMYFUNCTION("IMPORTRANGE(""https://docs.google.com/spreadsheets/d/1QqKyyYR6Q21VydFLVH3TRQUabQu_ym0Zz7PgGX0-kHA/edit?usp=sharing"",""แผน!ET58"")"),1000)</f>
        <v>1000</v>
      </c>
      <c r="J378" s="270">
        <f ca="1">IFERROR(__xludf.DUMMYFUNCTION("IMPORTRANGE(""https://docs.google.com/spreadsheets/d/1XWAQStnk-4SwqDmLtmXYiTMKHgktTP8We1SCoS47DrQ/edit?usp=sharing"",""จัดที่ดิน!AI58"")"),738.76)</f>
        <v>738.76</v>
      </c>
      <c r="K378" s="497">
        <f t="shared" ca="1" si="164"/>
        <v>73.876000000000005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IFERROR(__xludf.DUMMYFUNCTION("IMPORTRANGE(""https://docs.google.com/spreadsheets/d/1QqKyyYR6Q21VydFLVH3TRQUabQu_ym0Zz7PgGX0-kHA/edit?usp=sharing"",""แผน!EU58"")"),200)</f>
        <v>200</v>
      </c>
      <c r="J379" s="270">
        <f ca="1">IFERROR(__xludf.DUMMYFUNCTION("IMPORTRANGE(""https://docs.google.com/spreadsheets/d/1XWAQStnk-4SwqDmLtmXYiTMKHgktTP8We1SCoS47DrQ/edit?usp=sharing"",""จัดที่ดิน!AJ58"")"),330)</f>
        <v>330</v>
      </c>
      <c r="K379" s="497">
        <f t="shared" ca="1" si="164"/>
        <v>165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IFERROR(__xludf.DUMMYFUNCTION("IMPORTRANGE(""https://docs.google.com/spreadsheets/d/1XWAQStnk-4SwqDmLtmXYiTMKHgktTP8We1SCoS47DrQ/edit?usp=sharing"",""จัดที่ดิน!AK58"")"),4810.63999999999)</f>
        <v>4810.6399999999903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IFERROR(__xludf.DUMMYFUNCTION("IMPORTRANGE(""https://docs.google.com/spreadsheets/d/1QqKyyYR6Q21VydFLVH3TRQUabQu_ym0Zz7PgGX0-kHA/edit?usp=sharing"",""แผน!EU58"")"),200)</f>
        <v>200</v>
      </c>
      <c r="J381" s="270">
        <f ca="1">IFERROR(__xludf.DUMMYFUNCTION("IMPORTRANGE(""https://docs.google.com/spreadsheets/d/1XWAQStnk-4SwqDmLtmXYiTMKHgktTP8We1SCoS47DrQ/edit?usp=sharing"",""จัดที่ดิน!AL58"")"),331)</f>
        <v>331</v>
      </c>
      <c r="K381" s="497">
        <f t="shared" ca="1" si="164"/>
        <v>165.5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IFERROR(__xludf.DUMMYFUNCTION("IMPORTRANGE(""https://docs.google.com/spreadsheets/d/1XWAQStnk-4SwqDmLtmXYiTMKHgktTP8We1SCoS47DrQ/edit?usp=sharing"",""จัดที่ดิน!AM58"")"),4818.51)</f>
        <v>4818.51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IFERROR(__xludf.DUMMYFUNCTION("IMPORTRANGE(""https://docs.google.com/spreadsheets/d/1QqKyyYR6Q21VydFLVH3TRQUabQu_ym0Zz7PgGX0-kHA/edit?usp=sharing"",""แผน!EW58"")"),5)</f>
        <v>5</v>
      </c>
      <c r="J385" s="501">
        <f ca="1">IFERROR(__xludf.DUMMYFUNCTION("IMPORTRANGE(""https://docs.google.com/spreadsheets/d/1XWAQStnk-4SwqDmLtmXYiTMKHgktTP8We1SCoS47DrQ/edit?usp=sharing"",""จัดที่ดิน!AP58"")"),0)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IFERROR(__xludf.DUMMYFUNCTION("IMPORTRANGE(""https://docs.google.com/spreadsheets/d/1MeEWN-I1oV_STSDYn1IFDPWt_1FKiwhDph83XaGc0o0/edit?usp=sharing"",""งบพรบ!FG58"")"),0)</f>
        <v>0</v>
      </c>
      <c r="M394" s="93">
        <f ca="1">IFERROR(__xludf.DUMMYFUNCTION("IMPORTRANGE(""https://docs.google.com/spreadsheets/d/1MeEWN-I1oV_STSDYn1IFDPWt_1FKiwhDph83XaGc0o0/edit?usp=sharing"",""งบพรบ!FL58"")"),0)</f>
        <v>0</v>
      </c>
      <c r="N394" s="93">
        <f ca="1">IFERROR(__xludf.DUMMYFUNCTION("IMPORTRANGE(""https://docs.google.com/spreadsheets/d/1MeEWN-I1oV_STSDYn1IFDPWt_1FKiwhDph83XaGc0o0/edit?usp=sharing"",""งบพรบ!FN58"")"),0)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IFERROR(__xludf.DUMMYFUNCTION("IMPORTRANGE(""https://docs.google.com/spreadsheets/d/1MeEWN-I1oV_STSDYn1IFDPWt_1FKiwhDph83XaGc0o0/edit?usp=sharing"",""งบพรบ!FJ58"")"),0)</f>
        <v>0</v>
      </c>
      <c r="M397" s="93">
        <f ca="1">IFERROR(__xludf.DUMMYFUNCTION("IMPORTRANGE(""https://docs.google.com/spreadsheets/d/1MeEWN-I1oV_STSDYn1IFDPWt_1FKiwhDph83XaGc0o0/edit?usp=sharing"",""งบพรบ!FM58"")"),0)</f>
        <v>0</v>
      </c>
      <c r="N397" s="93">
        <f ca="1">IFERROR(__xludf.DUMMYFUNCTION("IMPORTRANGE(""https://docs.google.com/spreadsheets/d/1MeEWN-I1oV_STSDYn1IFDPWt_1FKiwhDph83XaGc0o0/edit?usp=sharing"",""งบพรบ!FO58"")"),0)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IFERROR(__xludf.DUMMYFUNCTION("IMPORTRANGE(""https://docs.google.com/spreadsheets/d/1MeEWN-I1oV_STSDYn1IFDPWt_1FKiwhDph83XaGc0o0/edit?usp=sharing"",""งบพรบ!FQ58"")"),0)</f>
        <v>0</v>
      </c>
      <c r="M407" s="93">
        <f ca="1">IFERROR(__xludf.DUMMYFUNCTION("IMPORTRANGE(""https://docs.google.com/spreadsheets/d/1MeEWN-I1oV_STSDYn1IFDPWt_1FKiwhDph83XaGc0o0/edit?usp=sharing"",""งบพรบ!FV58"")"),0)</f>
        <v>0</v>
      </c>
      <c r="N407" s="93">
        <f ca="1">IFERROR(__xludf.DUMMYFUNCTION("IMPORTRANGE(""https://docs.google.com/spreadsheets/d/1MeEWN-I1oV_STSDYn1IFDPWt_1FKiwhDph83XaGc0o0/edit?usp=sharing"",""งบพรบ!FX58"")"),0)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IFERROR(__xludf.DUMMYFUNCTION("IMPORTRANGE(""https://docs.google.com/spreadsheets/d/1MeEWN-I1oV_STSDYn1IFDPWt_1FKiwhDph83XaGc0o0/edit?usp=sharing"",""งบพรบ!FT58"")"),0)</f>
        <v>0</v>
      </c>
      <c r="M410" s="93">
        <f ca="1">IFERROR(__xludf.DUMMYFUNCTION("IMPORTRANGE(""https://docs.google.com/spreadsheets/d/1MeEWN-I1oV_STSDYn1IFDPWt_1FKiwhDph83XaGc0o0/edit?usp=sharing"",""งบพรบ!FW58"")"),0)</f>
        <v>0</v>
      </c>
      <c r="N410" s="93">
        <f ca="1">IFERROR(__xludf.DUMMYFUNCTION("IMPORTRANGE(""https://docs.google.com/spreadsheets/d/1MeEWN-I1oV_STSDYn1IFDPWt_1FKiwhDph83XaGc0o0/edit?usp=sharing"",""งบพรบ!FY58"")"),0)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845893</v>
      </c>
      <c r="M414" s="549">
        <f t="shared" ca="1" si="181"/>
        <v>805893</v>
      </c>
      <c r="N414" s="549">
        <f t="shared" si="181"/>
        <v>437420</v>
      </c>
      <c r="O414" s="549">
        <f ca="1">IF(L414&gt;0,N414*100/L414,0)</f>
        <v>51.711032009958707</v>
      </c>
      <c r="P414" s="549">
        <f ca="1">IF(M414&gt;0,N414*100/M414,0)</f>
        <v>54.277677061346857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53848</v>
      </c>
      <c r="O419" s="155">
        <f t="shared" ref="O419:O424" ca="1" si="185">IF(L419&gt;0,N419*100/L419,0)</f>
        <v>80.901442307692307</v>
      </c>
      <c r="P419" s="155">
        <f t="shared" ref="P419:P424" ca="1" si="186">IF(M419&gt;0,N419*100/M419,0)</f>
        <v>80.901442307692307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53848</v>
      </c>
      <c r="O421" s="93">
        <f t="shared" ca="1" si="185"/>
        <v>80.901442307692307</v>
      </c>
      <c r="P421" s="93">
        <f t="shared" ca="1" si="186"/>
        <v>80.901442307692307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53848</v>
      </c>
      <c r="O422" s="497">
        <f t="shared" ca="1" si="185"/>
        <v>80.901442307692307</v>
      </c>
      <c r="P422" s="497">
        <f t="shared" ca="1" si="186"/>
        <v>80.901442307692307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IFERROR(__xludf.DUMMYFUNCTION("IMPORTRANGE(""https://docs.google.com/spreadsheets/d/1QqKyyYR6Q21VydFLVH3TRQUabQu_ym0Zz7PgGX0-kHA/edit?usp=sharing"",""แผน!EY58"")"),66560)</f>
        <v>66560</v>
      </c>
      <c r="M424" s="93">
        <f ca="1">L424</f>
        <v>66560</v>
      </c>
      <c r="N424" s="93">
        <f>N425+N426+N427+N428</f>
        <v>53848</v>
      </c>
      <c r="O424" s="93">
        <f t="shared" ca="1" si="185"/>
        <v>80.901442307692307</v>
      </c>
      <c r="P424" s="93">
        <f t="shared" ca="1" si="186"/>
        <v>80.901442307692307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17548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IFERROR(__xludf.DUMMYFUNCTION("IMPORTRANGE(""https://docs.google.com/spreadsheets/d/1QqKyyYR6Q21VydFLVH3TRQUabQu_ym0Zz7PgGX0-kHA/edit?usp=sharing"",""แผน!FC58"")"),15)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IFERROR(__xludf.DUMMYFUNCTION("IMPORTRANGE(""https://docs.google.com/spreadsheets/d/1QqKyyYR6Q21VydFLVH3TRQUabQu_ym0Zz7PgGX0-kHA/edit?usp=sharing"",""แผน!FD58"")"),0)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IFERROR(__xludf.DUMMYFUNCTION("IMPORTRANGE(""https://docs.google.com/spreadsheets/d/1QqKyyYR6Q21VydFLVH3TRQUabQu_ym0Zz7PgGX0-kHA/edit?usp=sharing"",""แผน!FF58"")"),15)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IFERROR(__xludf.DUMMYFUNCTION("IMPORTRANGE(""https://docs.google.com/spreadsheets/d/1QqKyyYR6Q21VydFLVH3TRQUabQu_ym0Zz7PgGX0-kHA/edit?usp=sharing"",""แผน!FJ58"")"),0)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IFERROR(__xludf.DUMMYFUNCTION("IMPORTRANGE(""https://docs.google.com/spreadsheets/d/1QqKyyYR6Q21VydFLVH3TRQUabQu_ym0Zz7PgGX0-kHA/edit?usp=sharing"",""แผน!FN58"")"),0)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IFERROR(__xludf.DUMMYFUNCTION("IMPORTRANGE(""https://docs.google.com/spreadsheets/d/1QqKyyYR6Q21VydFLVH3TRQUabQu_ym0Zz7PgGX0-kHA/edit?usp=sharing"",""แผน!FO58"")"),0)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IFERROR(__xludf.DUMMYFUNCTION("IMPORTRANGE(""https://docs.google.com/spreadsheets/d/1QqKyyYR6Q21VydFLVH3TRQUabQu_ym0Zz7PgGX0-kHA/edit?usp=sharing"",""แผน!FO58"")"),0)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IFERROR(__xludf.DUMMYFUNCTION("IMPORTRANGE(""https://docs.google.com/spreadsheets/d/1QqKyyYR6Q21VydFLVH3TRQUabQu_ym0Zz7PgGX0-kHA/edit?usp=sharing"",""แผน!FN58"")"),0)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IFERROR(__xludf.DUMMYFUNCTION("IMPORTRANGE(""https://docs.google.com/spreadsheets/d/1QqKyyYR6Q21VydFLVH3TRQUabQu_ym0Zz7PgGX0-kHA/edit?usp=sharing"",""แผน!FX58"")"),21)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IFERROR(__xludf.DUMMYFUNCTION("IMPORTRANGE(""https://docs.google.com/spreadsheets/d/1QqKyyYR6Q21VydFLVH3TRQUabQu_ym0Zz7PgGX0-kHA/edit?usp=sharing"",""แผน!FW58"")"),200)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181023</v>
      </c>
      <c r="M467" s="195">
        <f t="shared" ca="1" si="206"/>
        <v>181023</v>
      </c>
      <c r="N467" s="195">
        <f t="shared" si="206"/>
        <v>172078</v>
      </c>
      <c r="O467" s="195">
        <f t="shared" ref="O467:O472" ca="1" si="207">IF(L467&gt;0,N467*100/L467,0)</f>
        <v>95.058638957480539</v>
      </c>
      <c r="P467" s="195">
        <f t="shared" ref="P467:P472" ca="1" si="208">IF(M467&gt;0,N467*100/M467,0)</f>
        <v>95.058638957480539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181023</v>
      </c>
      <c r="M469" s="93">
        <f t="shared" ca="1" si="209"/>
        <v>181023</v>
      </c>
      <c r="N469" s="93">
        <f t="shared" si="209"/>
        <v>172078</v>
      </c>
      <c r="O469" s="93">
        <f t="shared" ca="1" si="207"/>
        <v>95.058638957480539</v>
      </c>
      <c r="P469" s="93">
        <f t="shared" ca="1" si="208"/>
        <v>95.058638957480539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181023</v>
      </c>
      <c r="M470" s="497">
        <f t="shared" ca="1" si="210"/>
        <v>181023</v>
      </c>
      <c r="N470" s="497">
        <f t="shared" si="210"/>
        <v>172078</v>
      </c>
      <c r="O470" s="497">
        <f t="shared" ca="1" si="207"/>
        <v>95.058638957480539</v>
      </c>
      <c r="P470" s="497">
        <f t="shared" ca="1" si="208"/>
        <v>95.058638957480539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IFERROR(__xludf.DUMMYFUNCTION("IMPORTRANGE(""https://docs.google.com/spreadsheets/d/1QqKyyYR6Q21VydFLVH3TRQUabQu_ym0Zz7PgGX0-kHA/edit?usp=sharing"",""แผน!FS58"")"),181023)</f>
        <v>181023</v>
      </c>
      <c r="M472" s="93">
        <f ca="1">L472</f>
        <v>181023</v>
      </c>
      <c r="N472" s="93">
        <f>N473+N474+N475+N476</f>
        <v>172078</v>
      </c>
      <c r="O472" s="93">
        <f t="shared" ca="1" si="207"/>
        <v>95.058638957480539</v>
      </c>
      <c r="P472" s="93">
        <f t="shared" ca="1" si="208"/>
        <v>95.058638957480539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32823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f>4000+124000</f>
        <v>128000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11255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IFERROR(__xludf.DUMMYFUNCTION("IMPORTRANGE(""https://docs.google.com/spreadsheets/d/1QqKyyYR6Q21VydFLVH3TRQUabQu_ym0Zz7PgGX0-kHA/edit?usp=sharing"",""แผน!FY58"")"),180)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IFERROR(__xludf.DUMMYFUNCTION("IMPORTRANGE(""https://docs.google.com/spreadsheets/d/1QqKyyYR6Q21VydFLVH3TRQUabQu_ym0Zz7PgGX0-kHA/edit?usp=sharing"",""แผน!FZ58"")"),18)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IFERROR(__xludf.DUMMYFUNCTION("IMPORTRANGE(""https://docs.google.com/spreadsheets/d/1QqKyyYR6Q21VydFLVH3TRQUabQu_ym0Zz7PgGX0-kHA/edit?usp=sharing"",""แผน!GA58"")"),20)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IFERROR(__xludf.DUMMYFUNCTION("IMPORTRANGE(""https://docs.google.com/spreadsheets/d/1QqKyyYR6Q21VydFLVH3TRQUabQu_ym0Zz7PgGX0-kHA/edit?usp=sharing"",""แผน!GB58"")"),2)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IFERROR(__xludf.DUMMYFUNCTION("IMPORTRANGE(""https://docs.google.com/spreadsheets/d/1QqKyyYR6Q21VydFLVH3TRQUabQu_ym0Zz7PgGX0-kHA/edit?usp=sharing"",""แผน!FY58"")"),180)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IFERROR(__xludf.DUMMYFUNCTION("IMPORTRANGE(""https://docs.google.com/spreadsheets/d/1QqKyyYR6Q21VydFLVH3TRQUabQu_ym0Zz7PgGX0-kHA/edit?usp=sharing"",""แผน!GA58"")"),20)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265400</v>
      </c>
      <c r="M544" s="155">
        <f t="shared" ca="1" si="236"/>
        <v>225400</v>
      </c>
      <c r="N544" s="155">
        <f t="shared" si="236"/>
        <v>108808</v>
      </c>
      <c r="O544" s="155">
        <f t="shared" ref="O544:O549" ca="1" si="237">IF(L544&gt;0,N544*100/L544,0)</f>
        <v>40.997739261492086</v>
      </c>
      <c r="P544" s="155">
        <f t="shared" ref="P544:P549" ca="1" si="238">IF(M544&gt;0,N544*100/M544,0)</f>
        <v>48.273291925465841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265400</v>
      </c>
      <c r="M546" s="93">
        <f t="shared" ca="1" si="240"/>
        <v>225400</v>
      </c>
      <c r="N546" s="93">
        <f t="shared" si="240"/>
        <v>108808</v>
      </c>
      <c r="O546" s="93">
        <f t="shared" ca="1" si="237"/>
        <v>40.997739261492086</v>
      </c>
      <c r="P546" s="93">
        <f t="shared" ca="1" si="238"/>
        <v>48.273291925465841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265400</v>
      </c>
      <c r="M547" s="497">
        <f t="shared" ca="1" si="241"/>
        <v>225400</v>
      </c>
      <c r="N547" s="497">
        <f t="shared" si="241"/>
        <v>108808</v>
      </c>
      <c r="O547" s="497">
        <f t="shared" ca="1" si="237"/>
        <v>40.997739261492086</v>
      </c>
      <c r="P547" s="497">
        <f t="shared" ca="1" si="238"/>
        <v>48.273291925465841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IFERROR(__xludf.DUMMYFUNCTION("IMPORTRANGE(""https://docs.google.com/spreadsheets/d/1QqKyyYR6Q21VydFLVH3TRQUabQu_ym0Zz7PgGX0-kHA/edit?usp=sharing"",""แผน!HB58"")"),265400)</f>
        <v>265400</v>
      </c>
      <c r="M549" s="93">
        <f ca="1">L549-40000</f>
        <v>225400</v>
      </c>
      <c r="N549" s="93">
        <f>N550+N551+N552+N553+N554</f>
        <v>108808</v>
      </c>
      <c r="O549" s="93">
        <f t="shared" ca="1" si="237"/>
        <v>40.997739261492086</v>
      </c>
      <c r="P549" s="93">
        <f t="shared" ca="1" si="238"/>
        <v>48.273291925465841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78000+13000</f>
        <v>91000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3570+5120+638+980+7500</f>
        <v>17808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IFERROR(__xludf.DUMMYFUNCTION("IMPORTRANGE(""https://docs.google.com/spreadsheets/d/1QqKyyYR6Q21VydFLVH3TRQUabQu_ym0Zz7PgGX0-kHA/edit?usp=sharing"",""แผน!HH58"")"),0)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IFERROR(__xludf.DUMMYFUNCTION("IMPORTRANGE(""https://docs.google.com/spreadsheets/d/1QqKyyYR6Q21VydFLVH3TRQUabQu_ym0Zz7PgGX0-kHA/edit?usp=sharing"",""แผน!HG58"")"),0)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IFERROR(__xludf.DUMMYFUNCTION("IMPORTRANGE(""https://docs.google.com/spreadsheets/d/1QqKyyYR6Q21VydFLVH3TRQUabQu_ym0Zz7PgGX0-kHA/edit?usp=sharing"",""แผน!HH58"")"),0)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IFERROR(__xludf.DUMMYFUNCTION("IMPORTRANGE(""https://docs.google.com/spreadsheets/d/1QqKyyYR6Q21VydFLVH3TRQUabQu_ym0Zz7PgGX0-kHA/edit?usp=sharing"",""แผน!HG58"")"),0)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IFERROR(__xludf.DUMMYFUNCTION("IMPORTRANGE(""https://docs.google.com/spreadsheets/d/1QqKyyYR6Q21VydFLVH3TRQUabQu_ym0Zz7PgGX0-kHA/edit?usp=sharing"",""แผน!HH58"")"),0)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IFERROR(__xludf.DUMMYFUNCTION("IMPORTRANGE(""https://docs.google.com/spreadsheets/d/1QqKyyYR6Q21VydFLVH3TRQUabQu_ym0Zz7PgGX0-kHA/edit?usp=sharing"",""แผน!HG58"")"),0)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3209.04</v>
      </c>
      <c r="J592" s="703">
        <f t="shared" si="253"/>
        <v>624</v>
      </c>
      <c r="K592" s="672">
        <f t="shared" ref="K592:K594" ca="1" si="254">IF(I592&gt;0,J592*100/I592,0)</f>
        <v>19.445067683793283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IFERROR(__xludf.DUMMYFUNCTION("IMPORTRANGE(""https://docs.google.com/spreadsheets/d/1QqKyyYR6Q21VydFLVH3TRQUabQu_ym0Zz7PgGX0-kHA/edit?usp=sharing"",""แผน!HJ58"")"),3209.04)</f>
        <v>3209.04</v>
      </c>
      <c r="J593" s="193">
        <f t="shared" ref="J593:J594" si="255">J595+J603+J609</f>
        <v>624</v>
      </c>
      <c r="K593" s="411">
        <f t="shared" ca="1" si="254"/>
        <v>19.445067683793283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IFERROR(__xludf.DUMMYFUNCTION("IMPORTRANGE(""https://docs.google.com/spreadsheets/d/1QqKyyYR6Q21VydFLVH3TRQUabQu_ym0Zz7PgGX0-kHA/edit?usp=sharing"",""แผน!HI58"")"),178)</f>
        <v>178</v>
      </c>
      <c r="J594" s="193">
        <f t="shared" si="255"/>
        <v>36</v>
      </c>
      <c r="K594" s="411">
        <f t="shared" ca="1" si="254"/>
        <v>20.224719101123597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467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23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453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22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14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93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90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5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3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4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64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IFERROR(__xludf.DUMMYFUNCTION("IMPORTRANGE(""https://docs.google.com/spreadsheets/d/1QqKyyYR6Q21VydFLVH3TRQUabQu_ym0Zz7PgGX0-kHA/edit?usp=sharing"",""แผน!HL58"")"),0)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IFERROR(__xludf.DUMMYFUNCTION("IMPORTRANGE(""https://docs.google.com/spreadsheets/d/1QqKyyYR6Q21VydFLVH3TRQUabQu_ym0Zz7PgGX0-kHA/edit?usp=sharing"",""แผน!HK58"")"),0)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90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332910</v>
      </c>
      <c r="M629" s="195">
        <f t="shared" ca="1" si="263"/>
        <v>332910</v>
      </c>
      <c r="N629" s="195">
        <f t="shared" si="263"/>
        <v>102686</v>
      </c>
      <c r="O629" s="195">
        <f t="shared" ref="O629:O634" ca="1" si="264">IF(L629&gt;0,N629*100/L629,0)</f>
        <v>30.84497311585714</v>
      </c>
      <c r="P629" s="195">
        <f t="shared" ref="P629:P634" ca="1" si="265">IF(M629&gt;0,N629*100/M629,0)</f>
        <v>30.84497311585714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332910</v>
      </c>
      <c r="M631" s="93">
        <f t="shared" ca="1" si="266"/>
        <v>332910</v>
      </c>
      <c r="N631" s="93">
        <f t="shared" si="266"/>
        <v>102686</v>
      </c>
      <c r="O631" s="93">
        <f t="shared" ca="1" si="264"/>
        <v>30.84497311585714</v>
      </c>
      <c r="P631" s="93">
        <f t="shared" ca="1" si="265"/>
        <v>30.84497311585714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332910</v>
      </c>
      <c r="M632" s="497">
        <f t="shared" ca="1" si="267"/>
        <v>332910</v>
      </c>
      <c r="N632" s="497">
        <f t="shared" si="267"/>
        <v>102686</v>
      </c>
      <c r="O632" s="497">
        <f t="shared" ca="1" si="264"/>
        <v>30.84497311585714</v>
      </c>
      <c r="P632" s="497">
        <f t="shared" ca="1" si="265"/>
        <v>30.84497311585714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IFERROR(__xludf.DUMMYFUNCTION("IMPORTRANGE(""https://docs.google.com/spreadsheets/d/1QqKyyYR6Q21VydFLVH3TRQUabQu_ym0Zz7PgGX0-kHA/edit?usp=sharing"",""แผน!HN58"")"),332910)</f>
        <v>332910</v>
      </c>
      <c r="M634" s="93">
        <f ca="1">L634</f>
        <v>332910</v>
      </c>
      <c r="N634" s="93">
        <f>N635+N636+N637+N638</f>
        <v>102686</v>
      </c>
      <c r="O634" s="93">
        <f t="shared" ca="1" si="264"/>
        <v>30.84497311585714</v>
      </c>
      <c r="P634" s="93">
        <f t="shared" ca="1" si="265"/>
        <v>30.84497311585714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f>77566+13000</f>
        <v>90566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2640+3480+6000</f>
        <v>12120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IFERROR(__xludf.DUMMYFUNCTION("IMPORTRANGE(""https://docs.google.com/spreadsheets/d/1XWAQStnk-4SwqDmLtmXYiTMKHgktTP8We1SCoS47DrQ/edit?usp=sharing"",""จัดที่ดิน!AS58"")"),0)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IFERROR(__xludf.DUMMYFUNCTION("IMPORTRANGE(""https://docs.google.com/spreadsheets/d/1XWAQStnk-4SwqDmLtmXYiTMKHgktTP8We1SCoS47DrQ/edit?usp=sharing"",""จัดที่ดิน!AT58"")"),0)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IFERROR(__xludf.DUMMYFUNCTION("IMPORTRANGE(""https://docs.google.com/spreadsheets/d/1QqKyyYR6Q21VydFLVH3TRQUabQu_ym0Zz7PgGX0-kHA/edit?usp=sharing"",""แผน!HS58"")"),90)</f>
        <v>90</v>
      </c>
      <c r="J647" s="270">
        <f ca="1">IFERROR(__xludf.DUMMYFUNCTION("IMPORTRANGE(""https://docs.google.com/spreadsheets/d/1XWAQStnk-4SwqDmLtmXYiTMKHgktTP8We1SCoS47DrQ/edit?usp=sharing"",""จัดที่ดิน!AU58"")"),2)</f>
        <v>2</v>
      </c>
      <c r="K647" s="163">
        <f t="shared" ca="1" si="271"/>
        <v>2.2222222222222223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IFERROR(__xludf.DUMMYFUNCTION("IMPORTRANGE(""https://docs.google.com/spreadsheets/d/1XWAQStnk-4SwqDmLtmXYiTMKHgktTP8We1SCoS47DrQ/edit?usp=sharing"",""จัดที่ดิน!AV58"")"),2.65)</f>
        <v>2.65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IFERROR(__xludf.DUMMYFUNCTION("IMPORTRANGE(""https://docs.google.com/spreadsheets/d/1QqKyyYR6Q21VydFLVH3TRQUabQu_ym0Zz7PgGX0-kHA/edit?usp=sharing"",""แผน!HS58"")"),90)</f>
        <v>90</v>
      </c>
      <c r="J649" s="270">
        <f ca="1">IFERROR(__xludf.DUMMYFUNCTION("IMPORTRANGE(""https://docs.google.com/spreadsheets/d/1XWAQStnk-4SwqDmLtmXYiTMKHgktTP8We1SCoS47DrQ/edit?usp=sharing"",""จัดที่ดิน!AW58"")"),0)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IFERROR(__xludf.DUMMYFUNCTION("IMPORTRANGE(""https://docs.google.com/spreadsheets/d/1QqKyyYR6Q21VydFLVH3TRQUabQu_ym0Zz7PgGX0-kHA/edit?usp=sharing"",""แผน!HS58"")"),90)</f>
        <v>90</v>
      </c>
      <c r="J651" s="270">
        <f ca="1">IFERROR(__xludf.DUMMYFUNCTION("IMPORTRANGE(""https://docs.google.com/spreadsheets/d/1XWAQStnk-4SwqDmLtmXYiTMKHgktTP8We1SCoS47DrQ/edit?usp=sharing"",""จัดที่ดิน!AY58"")"),0)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IFERROR(__xludf.DUMMYFUNCTION("IMPORTRANGE(""https://docs.google.com/spreadsheets/d/1QqKyyYR6Q21VydFLVH3TRQUabQu_ym0Zz7PgGX0-kHA/edit?usp=sharing"",""แผน!IA58"")"),0)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IFERROR(__xludf.DUMMYFUNCTION("IMPORTRANGE(""https://docs.google.com/spreadsheets/d/1QqKyyYR6Q21VydFLVH3TRQUabQu_ym0Zz7PgGX0-kHA/edit?usp=sharing"",""แผน!HZ58"")"),0)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IFERROR(__xludf.DUMMYFUNCTION("IMPORTRANGE(""https://docs.google.com/spreadsheets/d/1QqKyyYR6Q21VydFLVH3TRQUabQu_ym0Zz7PgGX0-kHA/edit?usp=sharing"",""แผน!HZ58"")"),0)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IFERROR(__xludf.DUMMYFUNCTION("IMPORTRANGE(""https://docs.google.com/spreadsheets/d/1QqKyyYR6Q21VydFLVH3TRQUabQu_ym0Zz7PgGX0-kHA/edit?usp=sharing"",""แผน!IC58"")"),0)</f>
        <v>0</v>
      </c>
      <c r="J699" s="270">
        <f ca="1">IFERROR(__xludf.DUMMYFUNCTION("IMPORTRANGE(""https://docs.google.com/spreadsheets/d/1XWAQStnk-4SwqDmLtmXYiTMKHgktTP8We1SCoS47DrQ/edit?usp=sharing"",""จัดที่ดิน!BB58"")"),0)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IFERROR(__xludf.DUMMYFUNCTION("IMPORTRANGE(""https://docs.google.com/spreadsheets/d/1QqKyyYR6Q21VydFLVH3TRQUabQu_ym0Zz7PgGX0-kHA/edit?usp=sharing"",""แผน!ID58"")"),0)</f>
        <v>0</v>
      </c>
      <c r="J700" s="270">
        <f ca="1">IFERROR(__xludf.DUMMYFUNCTION("IMPORTRANGE(""https://docs.google.com/spreadsheets/d/1XWAQStnk-4SwqDmLtmXYiTMKHgktTP8We1SCoS47DrQ/edit?usp=sharing"",""จัดที่ดิน!BD58"")"),0)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IFERROR(__xludf.DUMMYFUNCTION("IMPORTRANGE(""https://docs.google.com/spreadsheets/d/1QqKyyYR6Q21VydFLVH3TRQUabQu_ym0Zz7PgGX0-kHA/edit?usp=sharing"",""แผน!IE58"")"),0)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IFERROR(__xludf.DUMMYFUNCTION("IMPORTRANGE(""https://docs.google.com/spreadsheets/d/1QqKyyYR6Q21VydFLVH3TRQUabQu_ym0Zz7PgGX0-kHA/edit?usp=sharing"",""แผน!IF58"")"),0)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IFERROR(__xludf.DUMMYFUNCTION("IMPORTRANGE(""https://docs.google.com/spreadsheets/d/1QqKyyYR6Q21VydFLVH3TRQUabQu_ym0Zz7PgGX0-kHA/edit?usp=sharing"",""แผน!IG58"")"),0)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IFERROR(__xludf.DUMMYFUNCTION("IMPORTRANGE(""https://docs.google.com/spreadsheets/d/1QqKyyYR6Q21VydFLVH3TRQUabQu_ym0Zz7PgGX0-kHA/edit?usp=sharing"",""แผน!IH58"")"),0)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IFERROR(__xludf.DUMMYFUNCTION("IMPORTRANGE(""https://docs.google.com/spreadsheets/d/1QqKyyYR6Q21VydFLVH3TRQUabQu_ym0Zz7PgGX0-kHA/edit?usp=sharing"",""แผน!II58"")"),0)</f>
        <v>0</v>
      </c>
      <c r="J720" s="270">
        <f ca="1">IFERROR(__xludf.DUMMYFUNCTION("IMPORTRANGE(""https://docs.google.com/spreadsheets/d/1XWAQStnk-4SwqDmLtmXYiTMKHgktTP8We1SCoS47DrQ/edit?usp=sharing"",""จัดที่ดิน!BH58"")"),0)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IFERROR(__xludf.DUMMYFUNCTION("IMPORTRANGE(""https://docs.google.com/spreadsheets/d/1QqKyyYR6Q21VydFLVH3TRQUabQu_ym0Zz7PgGX0-kHA/edit?usp=sharing"",""แผน!IJ58"")"),0)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IFERROR(__xludf.DUMMYFUNCTION("IMPORTRANGE(""https://docs.google.com/spreadsheets/d/1QqKyyYR6Q21VydFLVH3TRQUabQu_ym0Zz7PgGX0-kHA/edit?usp=sharing"",""แผน!IK58"")"),0)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IFERROR(__xludf.DUMMYFUNCTION("IMPORTRANGE(""https://docs.google.com/spreadsheets/d/1QqKyyYR6Q21VydFLVH3TRQUabQu_ym0Zz7PgGX0-kHA/edit?usp=sharing"",""แผน!IL58"")"),0)</f>
        <v>0</v>
      </c>
      <c r="J723" s="270">
        <f ca="1">IFERROR(__xludf.DUMMYFUNCTION("IMPORTRANGE(""https://docs.google.com/spreadsheets/d/1XWAQStnk-4SwqDmLtmXYiTMKHgktTP8We1SCoS47DrQ/edit?usp=sharing"",""จัดที่ดิน!BM58"")"),0)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IFERROR(__xludf.DUMMYFUNCTION("IMPORTRANGE(""https://docs.google.com/spreadsheets/d/1XWAQStnk-4SwqDmLtmXYiTMKHgktTP8We1SCoS47DrQ/edit?usp=sharing"",""จัดที่ดิน!BN58"")"),0)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IFERROR(__xludf.DUMMYFUNCTION("IMPORTRANGE(""https://docs.google.com/spreadsheets/d/1QqKyyYR6Q21VydFLVH3TRQUabQu_ym0Zz7PgGX0-kHA/edit?usp=sharing"",""แผน!IM58"")"),0)</f>
        <v>0</v>
      </c>
      <c r="J725" s="270">
        <f ca="1">IFERROR(__xludf.DUMMYFUNCTION("IMPORTRANGE(""https://docs.google.com/spreadsheets/d/1XWAQStnk-4SwqDmLtmXYiTMKHgktTP8We1SCoS47DrQ/edit?usp=sharing"",""จัดที่ดิน!BO58"")"),0)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IFERROR(__xludf.DUMMYFUNCTION("IMPORTRANGE(""https://docs.google.com/spreadsheets/d/1QqKyyYR6Q21VydFLVH3TRQUabQu_ym0Zz7PgGX0-kHA/edit?usp=sharing"",""แผน!IN58"")"),0)</f>
        <v>0</v>
      </c>
      <c r="J726" s="270">
        <f ca="1">IFERROR(__xludf.DUMMYFUNCTION("IMPORTRANGE(""https://docs.google.com/spreadsheets/d/1XWAQStnk-4SwqDmLtmXYiTMKHgktTP8We1SCoS47DrQ/edit?usp=sharing"",""จัดที่ดิน!BR58"")"),0)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IFERROR(__xludf.DUMMYFUNCTION("IMPORTRANGE(""https://docs.google.com/spreadsheets/d/1QqKyyYR6Q21VydFLVH3TRQUabQu_ym0Zz7PgGX0-kHA/edit?usp=sharing"",""แผน!IO58"")"),0)</f>
        <v>0</v>
      </c>
      <c r="J728" s="270">
        <f ca="1">IFERROR(__xludf.DUMMYFUNCTION("IMPORTRANGE(""https://docs.google.com/spreadsheets/d/1XWAQStnk-4SwqDmLtmXYiTMKHgktTP8We1SCoS47DrQ/edit?usp=sharing"",""จัดที่ดิน!BT58"")"),0)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IFERROR(__xludf.DUMMYFUNCTION("IMPORTRANGE(""https://docs.google.com/spreadsheets/d/1QqKyyYR6Q21VydFLVH3TRQUabQu_ym0Zz7PgGX0-kHA/edit?usp=sharing"",""แผน!IP58"")"),0)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IFERROR(__xludf.DUMMYFUNCTION("IMPORTRANGE(""https://docs.google.com/spreadsheets/d/1QqKyyYR6Q21VydFLVH3TRQUabQu_ym0Zz7PgGX0-kHA/edit?usp=sharing"",""แผน!JN58"")"),0)</f>
        <v>0</v>
      </c>
      <c r="J800" s="184">
        <f ca="1">IFERROR(__xludf.DUMMYFUNCTION("IMPORTRANGE(""https://docs.google.com/spreadsheets/d/1MaWodYyGHDf7siQLGxnXhG4mBNTNIuy296niS2xXulU/edit?usp=sharing"",""RTK!H58"")"),0)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IFERROR(__xludf.DUMMYFUNCTION("IMPORTRANGE(""https://docs.google.com/spreadsheets/d/19vJNZY_5yjcGF2XGBMNZRCAIB0Kwfpjp8YEOfu-bneM/edit?usp=sharing"",""งานกองทุน!D58"")"),2329000)</f>
        <v>2329000</v>
      </c>
      <c r="J821" s="270">
        <f ca="1">IFERROR(__xludf.DUMMYFUNCTION("IMPORTRANGE(""https://docs.google.com/spreadsheets/d/19vJNZY_5yjcGF2XGBMNZRCAIB0Kwfpjp8YEOfu-bneM/edit?usp=sharing"",""งานกองทุน!F58"")"),1903000)</f>
        <v>1903000</v>
      </c>
      <c r="K821" s="497">
        <f t="shared" ref="K821:K828" ca="1" si="335">IF(I821&gt;0,J821*100/I821,0)</f>
        <v>81.708887934735941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IFERROR(__xludf.DUMMYFUNCTION("IMPORTRANGE(""https://docs.google.com/spreadsheets/d/19vJNZY_5yjcGF2XGBMNZRCAIB0Kwfpjp8YEOfu-bneM/edit?usp=sharing"",""งานกองทุน!C58"")"),110)</f>
        <v>110</v>
      </c>
      <c r="J822" s="270">
        <f ca="1">IFERROR(__xludf.DUMMYFUNCTION("IMPORTRANGE(""https://docs.google.com/spreadsheets/d/19vJNZY_5yjcGF2XGBMNZRCAIB0Kwfpjp8YEOfu-bneM/edit?usp=sharing"",""งานกองทุน!E58"")"),92)</f>
        <v>92</v>
      </c>
      <c r="K822" s="497">
        <f t="shared" ca="1" si="335"/>
        <v>83.63636363636364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70">
        <f ca="1">IFERROR(__xludf.DUMMYFUNCTION("IMPORTRANGE(""https://docs.google.com/spreadsheets/d/19vJNZY_5yjcGF2XGBMNZRCAIB0Kwfpjp8YEOfu-bneM/edit?usp=sharing"",""งานกองทุน!K58"")"),260768.66)</f>
        <v>260768.66</v>
      </c>
      <c r="K823" s="497">
        <f t="shared" ca="1" si="335"/>
        <v>26.997051315076952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IFERROR(__xludf.DUMMYFUNCTION("IMPORTRANGE(""https://docs.google.com/spreadsheets/d/19vJNZY_5yjcGF2XGBMNZRCAIB0Kwfpjp8YEOfu-bneM/edit?usp=sharing"",""งานกองทุน!H58"")"),37)</f>
        <v>37</v>
      </c>
      <c r="J824" s="270">
        <f ca="1">IFERROR(__xludf.DUMMYFUNCTION("IMPORTRANGE(""https://docs.google.com/spreadsheets/d/19vJNZY_5yjcGF2XGBMNZRCAIB0Kwfpjp8YEOfu-bneM/edit?usp=sharing"",""งานกองทุน!J58"")"),17)</f>
        <v>17</v>
      </c>
      <c r="K824" s="497">
        <f t="shared" ca="1" si="335"/>
        <v>45.945945945945944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IFERROR(__xludf.DUMMYFUNCTION("IMPORTRANGE(""https://docs.google.com/spreadsheets/d/19vJNZY_5yjcGF2XGBMNZRCAIB0Kwfpjp8YEOfu-bneM/edit?usp=sharing"",""งานกองทุน!N58"")"),0)</f>
        <v>0</v>
      </c>
      <c r="J825" s="270">
        <f ca="1">IFERROR(__xludf.DUMMYFUNCTION("IMPORTRANGE(""https://docs.google.com/spreadsheets/d/19vJNZY_5yjcGF2XGBMNZRCAIB0Kwfpjp8YEOfu-bneM/edit?usp=sharing"",""งานกองทุน!P58"")"),0)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IFERROR(__xludf.DUMMYFUNCTION("IMPORTRANGE(""https://docs.google.com/spreadsheets/d/19vJNZY_5yjcGF2XGBMNZRCAIB0Kwfpjp8YEOfu-bneM/edit?usp=sharing"",""งานกองทุน!M58"")"),0)</f>
        <v>0</v>
      </c>
      <c r="J826" s="270">
        <f ca="1">IFERROR(__xludf.DUMMYFUNCTION("IMPORTRANGE(""https://docs.google.com/spreadsheets/d/19vJNZY_5yjcGF2XGBMNZRCAIB0Kwfpjp8YEOfu-bneM/edit?usp=sharing"",""งานกองทุน!O58"")"),0)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IFERROR(__xludf.DUMMYFUNCTION("IMPORTRANGE(""https://docs.google.com/spreadsheets/d/19vJNZY_5yjcGF2XGBMNZRCAIB0Kwfpjp8YEOfu-bneM/edit?usp=sharing"",""งานกองทุน!S58"")"),3330000)</f>
        <v>3330000</v>
      </c>
      <c r="J827" s="270">
        <f ca="1">IFERROR(__xludf.DUMMYFUNCTION("IMPORTRANGE(""https://docs.google.com/spreadsheets/d/19vJNZY_5yjcGF2XGBMNZRCAIB0Kwfpjp8YEOfu-bneM/edit?usp=sharing"",""งานกองทุน!U58"")"),2150000)</f>
        <v>2150000</v>
      </c>
      <c r="K827" s="497">
        <f t="shared" ca="1" si="335"/>
        <v>64.564564564564563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IFERROR(__xludf.DUMMYFUNCTION("IMPORTRANGE(""https://docs.google.com/spreadsheets/d/19vJNZY_5yjcGF2XGBMNZRCAIB0Kwfpjp8YEOfu-bneM/edit?usp=sharing"",""งานกองทุน!R58"")"),133)</f>
        <v>133</v>
      </c>
      <c r="J828" s="501">
        <f ca="1">IFERROR(__xludf.DUMMYFUNCTION("IMPORTRANGE(""https://docs.google.com/spreadsheets/d/19vJNZY_5yjcGF2XGBMNZRCAIB0Kwfpjp8YEOfu-bneM/edit?usp=sharing"",""งานกองทุน!T58"")"),82)</f>
        <v>82</v>
      </c>
      <c r="K828" s="502">
        <f t="shared" ca="1" si="335"/>
        <v>61.654135338345867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83F6-3228-4B7C-9AA4-DE69AE04D9C9}">
  <sheetPr codeName="Sheet8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3293010</v>
      </c>
      <c r="M8" s="22">
        <f t="shared" ca="1" si="0"/>
        <v>3352260</v>
      </c>
      <c r="N8" s="22">
        <f t="shared" ca="1" si="0"/>
        <v>2354076.83</v>
      </c>
      <c r="O8" s="22">
        <f t="shared" ref="O8:O16" ca="1" si="1">IF(L8&gt;0,N8*100/L8,0)</f>
        <v>71.487084157047804</v>
      </c>
      <c r="P8" s="22">
        <f t="shared" ref="P8:P16" ca="1" si="2">IF(M8&gt;0,N8*100/M8,0)</f>
        <v>70.223575438659296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3293010</v>
      </c>
      <c r="M10" s="30">
        <f t="shared" ca="1" si="3"/>
        <v>3352260</v>
      </c>
      <c r="N10" s="30">
        <f t="shared" ca="1" si="3"/>
        <v>2354076.83</v>
      </c>
      <c r="O10" s="30">
        <f t="shared" ca="1" si="1"/>
        <v>71.487084157047804</v>
      </c>
      <c r="P10" s="30">
        <f t="shared" ca="1" si="2"/>
        <v>70.223575438659296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3119610</v>
      </c>
      <c r="M11" s="497">
        <f t="shared" ca="1" si="4"/>
        <v>3178860</v>
      </c>
      <c r="N11" s="497">
        <f t="shared" ca="1" si="4"/>
        <v>2180676.83</v>
      </c>
      <c r="O11" s="497">
        <f t="shared" ca="1" si="1"/>
        <v>69.902225919265547</v>
      </c>
      <c r="P11" s="497">
        <f t="shared" ca="1" si="2"/>
        <v>68.599335296301192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3119610</v>
      </c>
      <c r="M13" s="93">
        <f t="shared" ca="1" si="5"/>
        <v>3178860</v>
      </c>
      <c r="N13" s="93">
        <f t="shared" ca="1" si="5"/>
        <v>2180676.83</v>
      </c>
      <c r="O13" s="93">
        <f t="shared" ca="1" si="1"/>
        <v>69.902225919265547</v>
      </c>
      <c r="P13" s="93">
        <f t="shared" ca="1" si="2"/>
        <v>68.599335296301192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2769500</v>
      </c>
      <c r="M18" s="22">
        <f t="shared" ca="1" si="8"/>
        <v>2828750</v>
      </c>
      <c r="N18" s="22">
        <f t="shared" ca="1" si="8"/>
        <v>2043431.83</v>
      </c>
      <c r="O18" s="22">
        <f t="shared" ref="O18:O26" ca="1" si="9">IF(L18&gt;0,N18*100/L18,0)</f>
        <v>73.783420473009571</v>
      </c>
      <c r="P18" s="22">
        <f t="shared" ref="P18:P26" ca="1" si="10">IF(M18&gt;0,N18*100/M18,0)</f>
        <v>72.237978965974364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2769500</v>
      </c>
      <c r="M20" s="30">
        <f t="shared" ca="1" si="11"/>
        <v>2828750</v>
      </c>
      <c r="N20" s="30">
        <f t="shared" ca="1" si="11"/>
        <v>2043431.83</v>
      </c>
      <c r="O20" s="30">
        <f t="shared" ca="1" si="9"/>
        <v>73.783420473009571</v>
      </c>
      <c r="P20" s="30">
        <f t="shared" ca="1" si="10"/>
        <v>72.237978965974364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2596100</v>
      </c>
      <c r="M21" s="497">
        <f t="shared" ca="1" si="12"/>
        <v>2655350</v>
      </c>
      <c r="N21" s="497">
        <f t="shared" ca="1" si="12"/>
        <v>1870031.83</v>
      </c>
      <c r="O21" s="497">
        <f t="shared" ca="1" si="9"/>
        <v>72.032349678363701</v>
      </c>
      <c r="P21" s="497">
        <f t="shared" ca="1" si="10"/>
        <v>70.425059973261526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2596100</v>
      </c>
      <c r="M23" s="93">
        <f t="shared" ca="1" si="13"/>
        <v>2655350</v>
      </c>
      <c r="N23" s="93">
        <f t="shared" ca="1" si="13"/>
        <v>1870031.83</v>
      </c>
      <c r="O23" s="93">
        <f t="shared" ca="1" si="9"/>
        <v>72.032349678363701</v>
      </c>
      <c r="P23" s="93">
        <f t="shared" ca="1" si="10"/>
        <v>70.425059973261526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523510</v>
      </c>
      <c r="M28" s="22">
        <f t="shared" ca="1" si="16"/>
        <v>523510</v>
      </c>
      <c r="N28" s="22">
        <f t="shared" si="16"/>
        <v>310645</v>
      </c>
      <c r="O28" s="22">
        <f t="shared" ref="O28:O37" ca="1" si="17">IF(L28&gt;0,N28*100/L28,0)</f>
        <v>59.338885599128957</v>
      </c>
      <c r="P28" s="22">
        <f t="shared" ref="P28:P37" ca="1" si="18">IF(M28&gt;0,N28*100/M28,0)</f>
        <v>59.338885599128957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523510</v>
      </c>
      <c r="M30" s="30">
        <f t="shared" ca="1" si="19"/>
        <v>523510</v>
      </c>
      <c r="N30" s="30">
        <f t="shared" si="19"/>
        <v>310645</v>
      </c>
      <c r="O30" s="30">
        <f t="shared" ca="1" si="17"/>
        <v>59.338885599128957</v>
      </c>
      <c r="P30" s="30">
        <f t="shared" ca="1" si="18"/>
        <v>59.338885599128957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523510</v>
      </c>
      <c r="M31" s="497">
        <f t="shared" ca="1" si="20"/>
        <v>523510</v>
      </c>
      <c r="N31" s="497">
        <f t="shared" si="20"/>
        <v>310645</v>
      </c>
      <c r="O31" s="497">
        <f t="shared" ca="1" si="17"/>
        <v>59.338885599128957</v>
      </c>
      <c r="P31" s="497">
        <f t="shared" ca="1" si="18"/>
        <v>59.338885599128957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523510</v>
      </c>
      <c r="M33" s="93">
        <f t="shared" ca="1" si="21"/>
        <v>523510</v>
      </c>
      <c r="N33" s="93">
        <f t="shared" si="21"/>
        <v>310645</v>
      </c>
      <c r="O33" s="93">
        <f t="shared" ca="1" si="17"/>
        <v>59.338885599128957</v>
      </c>
      <c r="P33" s="93">
        <f t="shared" ca="1" si="18"/>
        <v>59.338885599128957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2769500</v>
      </c>
      <c r="M37" s="59">
        <f t="shared" ca="1" si="24"/>
        <v>2828750</v>
      </c>
      <c r="N37" s="59">
        <f t="shared" ca="1" si="24"/>
        <v>2043431.83</v>
      </c>
      <c r="O37" s="59">
        <f t="shared" ca="1" si="17"/>
        <v>73.783420473009571</v>
      </c>
      <c r="P37" s="59">
        <f t="shared" ca="1" si="18"/>
        <v>72.237978965974364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314150</v>
      </c>
      <c r="M41" s="85">
        <f t="shared" ca="1" si="25"/>
        <v>335090</v>
      </c>
      <c r="N41" s="85">
        <f t="shared" ca="1" si="25"/>
        <v>235981</v>
      </c>
      <c r="O41" s="85">
        <f t="shared" ref="O41:O49" ca="1" si="26">IF(L41&gt;0,N41*100/L41,0)</f>
        <v>75.117300652554519</v>
      </c>
      <c r="P41" s="85">
        <f t="shared" ref="P41:P49" ca="1" si="27">IF(M41&gt;0,N41*100/M41,0)</f>
        <v>70.42316989465516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314150</v>
      </c>
      <c r="M43" s="92">
        <f t="shared" ca="1" si="28"/>
        <v>335090</v>
      </c>
      <c r="N43" s="92">
        <f t="shared" ca="1" si="28"/>
        <v>235981</v>
      </c>
      <c r="O43" s="92">
        <f t="shared" ca="1" si="26"/>
        <v>75.117300652554519</v>
      </c>
      <c r="P43" s="92">
        <f t="shared" ca="1" si="27"/>
        <v>70.42316989465516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314150</v>
      </c>
      <c r="M44" s="497">
        <f t="shared" ca="1" si="29"/>
        <v>335090</v>
      </c>
      <c r="N44" s="497">
        <f t="shared" ca="1" si="29"/>
        <v>235981</v>
      </c>
      <c r="O44" s="497">
        <f t="shared" ca="1" si="26"/>
        <v>75.117300652554519</v>
      </c>
      <c r="P44" s="497">
        <f t="shared" ca="1" si="27"/>
        <v>70.42316989465516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IFERROR(__xludf.DUMMYFUNCTION("IMPORTRANGE(""https://docs.google.com/spreadsheets/d/1MeEWN-I1oV_STSDYn1IFDPWt_1FKiwhDph83XaGc0o0/edit?usp=sharing"",""งบพรบ!M59"")"),314150)</f>
        <v>314150</v>
      </c>
      <c r="M46" s="93">
        <f ca="1">IFERROR(__xludf.DUMMYFUNCTION("IMPORTRANGE(""https://docs.google.com/spreadsheets/d/1MeEWN-I1oV_STSDYn1IFDPWt_1FKiwhDph83XaGc0o0/edit?usp=sharing"",""งบพรบ!R59"")"),335090)</f>
        <v>335090</v>
      </c>
      <c r="N46" s="93">
        <f ca="1">IFERROR(__xludf.DUMMYFUNCTION("IMPORTRANGE(""https://docs.google.com/spreadsheets/d/1MeEWN-I1oV_STSDYn1IFDPWt_1FKiwhDph83XaGc0o0/edit?usp=sharing"",""งบพรบ!T59"")"),235981)</f>
        <v>235981</v>
      </c>
      <c r="O46" s="93">
        <f t="shared" ca="1" si="26"/>
        <v>75.117300652554519</v>
      </c>
      <c r="P46" s="93">
        <f t="shared" ca="1" si="27"/>
        <v>70.42316989465516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IFERROR(__xludf.DUMMYFUNCTION("IMPORTRANGE(""https://docs.google.com/spreadsheets/d/1MeEWN-I1oV_STSDYn1IFDPWt_1FKiwhDph83XaGc0o0/edit?usp=sharing"",""งบพรบ!P59"")"),0)</f>
        <v>0</v>
      </c>
      <c r="M49" s="52">
        <f ca="1">IFERROR(__xludf.DUMMYFUNCTION("IMPORTRANGE(""https://docs.google.com/spreadsheets/d/1MeEWN-I1oV_STSDYn1IFDPWt_1FKiwhDph83XaGc0o0/edit?usp=sharing"",""งบพรบ!S59"")"),0)</f>
        <v>0</v>
      </c>
      <c r="N49" s="52">
        <f ca="1">IFERROR(__xludf.DUMMYFUNCTION("IMPORTRANGE(""https://docs.google.com/spreadsheets/d/1MeEWN-I1oV_STSDYn1IFDPWt_1FKiwhDph83XaGc0o0/edit?usp=sharing"",""งบพรบ!U59"")"),0)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647000</v>
      </c>
      <c r="M53" s="116">
        <f t="shared" ca="1" si="31"/>
        <v>647000</v>
      </c>
      <c r="N53" s="116">
        <f t="shared" ca="1" si="31"/>
        <v>502291.88</v>
      </c>
      <c r="O53" s="116">
        <f t="shared" ref="O53:O61" ca="1" si="32">IF(L53&gt;0,N53*100/L53,0)</f>
        <v>77.633984544049454</v>
      </c>
      <c r="P53" s="116">
        <f t="shared" ref="P53:P61" ca="1" si="33">IF(M53&gt;0,N53*100/M53,0)</f>
        <v>77.633984544049454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647000</v>
      </c>
      <c r="M55" s="123">
        <f t="shared" ca="1" si="34"/>
        <v>647000</v>
      </c>
      <c r="N55" s="123">
        <f t="shared" ca="1" si="34"/>
        <v>502291.88</v>
      </c>
      <c r="O55" s="123">
        <f t="shared" ca="1" si="32"/>
        <v>77.633984544049454</v>
      </c>
      <c r="P55" s="123">
        <f t="shared" ca="1" si="33"/>
        <v>77.633984544049454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647000</v>
      </c>
      <c r="M56" s="497">
        <f t="shared" ca="1" si="35"/>
        <v>647000</v>
      </c>
      <c r="N56" s="497">
        <f t="shared" ca="1" si="35"/>
        <v>502291.88</v>
      </c>
      <c r="O56" s="497">
        <f t="shared" ca="1" si="32"/>
        <v>77.633984544049454</v>
      </c>
      <c r="P56" s="497">
        <f t="shared" ca="1" si="33"/>
        <v>77.633984544049454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IFERROR(__xludf.DUMMYFUNCTION("IMPORTRANGE(""https://docs.google.com/spreadsheets/d/1MeEWN-I1oV_STSDYn1IFDPWt_1FKiwhDph83XaGc0o0/edit?usp=sharing"",""งบพรบ!W59"")"),647000)</f>
        <v>647000</v>
      </c>
      <c r="M58" s="93">
        <f ca="1">IFERROR(__xludf.DUMMYFUNCTION("IMPORTRANGE(""https://docs.google.com/spreadsheets/d/1MeEWN-I1oV_STSDYn1IFDPWt_1FKiwhDph83XaGc0o0/edit?usp=sharing"",""งบพรบ!AB59"")"),647000)</f>
        <v>647000</v>
      </c>
      <c r="N58" s="93">
        <f ca="1">IFERROR(__xludf.DUMMYFUNCTION("IMPORTRANGE(""https://docs.google.com/spreadsheets/d/1MeEWN-I1oV_STSDYn1IFDPWt_1FKiwhDph83XaGc0o0/edit?usp=sharing"",""งบพรบ!AD59"")"),502291.88)</f>
        <v>502291.88</v>
      </c>
      <c r="O58" s="93">
        <f t="shared" ca="1" si="32"/>
        <v>77.633984544049454</v>
      </c>
      <c r="P58" s="93">
        <f t="shared" ca="1" si="33"/>
        <v>77.633984544049454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IFERROR(__xludf.DUMMYFUNCTION("IMPORTRANGE(""https://docs.google.com/spreadsheets/d/1MeEWN-I1oV_STSDYn1IFDPWt_1FKiwhDph83XaGc0o0/edit?usp=sharing"",""งบพรบ!Z59"")"),0)</f>
        <v>0</v>
      </c>
      <c r="M61" s="52">
        <f ca="1">IFERROR(__xludf.DUMMYFUNCTION("IMPORTRANGE(""https://docs.google.com/spreadsheets/d/1MeEWN-I1oV_STSDYn1IFDPWt_1FKiwhDph83XaGc0o0/edit?usp=sharing"",""งบพรบ!AC59"")"),0)</f>
        <v>0</v>
      </c>
      <c r="N61" s="52">
        <f ca="1">IFERROR(__xludf.DUMMYFUNCTION("IMPORTRANGE(""https://docs.google.com/spreadsheets/d/1MeEWN-I1oV_STSDYn1IFDPWt_1FKiwhDph83XaGc0o0/edit?usp=sharing"",""งบพรบ!AE59"")"),0)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IFERROR(__xludf.DUMMYFUNCTION("IMPORTRANGE(""https://docs.google.com/spreadsheets/d/1MeEWN-I1oV_STSDYn1IFDPWt_1FKiwhDph83XaGc0o0/edit?usp=sharing"",""งบพรบ!AG59"")"),0)</f>
        <v>0</v>
      </c>
      <c r="M71" s="93">
        <f ca="1">IFERROR(__xludf.DUMMYFUNCTION("IMPORTRANGE(""https://docs.google.com/spreadsheets/d/1MeEWN-I1oV_STSDYn1IFDPWt_1FKiwhDph83XaGc0o0/edit?usp=sharing"",""งบพรบ!AL59"")"),0)</f>
        <v>0</v>
      </c>
      <c r="N71" s="93">
        <f ca="1">IFERROR(__xludf.DUMMYFUNCTION("IMPORTRANGE(""https://docs.google.com/spreadsheets/d/1MeEWN-I1oV_STSDYn1IFDPWt_1FKiwhDph83XaGc0o0/edit?usp=sharing"",""งบพรบ!AN59"")"),0)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IFERROR(__xludf.DUMMYFUNCTION("IMPORTRANGE(""https://docs.google.com/spreadsheets/d/1MeEWN-I1oV_STSDYn1IFDPWt_1FKiwhDph83XaGc0o0/edit?usp=sharing"",""งบพรบ!AJ59"")"),0)</f>
        <v>0</v>
      </c>
      <c r="M74" s="93">
        <f ca="1">IFERROR(__xludf.DUMMYFUNCTION("IMPORTRANGE(""https://docs.google.com/spreadsheets/d/1MeEWN-I1oV_STSDYn1IFDPWt_1FKiwhDph83XaGc0o0/edit?usp=sharing"",""งบพรบ!AM59"")"),0)</f>
        <v>0</v>
      </c>
      <c r="N74" s="93">
        <f ca="1">IFERROR(__xludf.DUMMYFUNCTION("IMPORTRANGE(""https://docs.google.com/spreadsheets/d/1MeEWN-I1oV_STSDYn1IFDPWt_1FKiwhDph83XaGc0o0/edit?usp=sharing"",""งบพรบ!AO59"")"),0)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115940</v>
      </c>
      <c r="M88" s="155">
        <f t="shared" ca="1" si="49"/>
        <v>126040</v>
      </c>
      <c r="N88" s="155">
        <f t="shared" ca="1" si="49"/>
        <v>81944</v>
      </c>
      <c r="O88" s="155">
        <f t="shared" ref="O88:O96" ca="1" si="50">IF(L88&gt;0,N88*100/L88,0)</f>
        <v>70.677936863895113</v>
      </c>
      <c r="P88" s="155">
        <f t="shared" ref="P88:P96" ca="1" si="51">IF(M88&gt;0,N88*100/M88,0)</f>
        <v>65.014281180577598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115940</v>
      </c>
      <c r="M90" s="93">
        <f t="shared" ca="1" si="52"/>
        <v>126040</v>
      </c>
      <c r="N90" s="93">
        <f t="shared" ca="1" si="52"/>
        <v>81944</v>
      </c>
      <c r="O90" s="93">
        <f t="shared" ca="1" si="50"/>
        <v>70.677936863895113</v>
      </c>
      <c r="P90" s="93">
        <f t="shared" ca="1" si="51"/>
        <v>65.014281180577598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115940</v>
      </c>
      <c r="M91" s="497">
        <f t="shared" ca="1" si="53"/>
        <v>126040</v>
      </c>
      <c r="N91" s="497">
        <f t="shared" ca="1" si="53"/>
        <v>81944</v>
      </c>
      <c r="O91" s="497">
        <f t="shared" ca="1" si="50"/>
        <v>70.677936863895113</v>
      </c>
      <c r="P91" s="497">
        <f t="shared" ca="1" si="51"/>
        <v>65.014281180577598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IFERROR(__xludf.DUMMYFUNCTION("IMPORTRANGE(""https://docs.google.com/spreadsheets/d/1MeEWN-I1oV_STSDYn1IFDPWt_1FKiwhDph83XaGc0o0/edit?usp=sharing"",""งบพรบ!AQ59"")"),115940)</f>
        <v>115940</v>
      </c>
      <c r="M93" s="93">
        <f ca="1">IFERROR(__xludf.DUMMYFUNCTION("IMPORTRANGE(""https://docs.google.com/spreadsheets/d/1MeEWN-I1oV_STSDYn1IFDPWt_1FKiwhDph83XaGc0o0/edit?usp=sharing"",""งบพรบ!AV59"")"),126040)</f>
        <v>126040</v>
      </c>
      <c r="N93" s="93">
        <f ca="1">IFERROR(__xludf.DUMMYFUNCTION("IMPORTRANGE(""https://docs.google.com/spreadsheets/d/1MeEWN-I1oV_STSDYn1IFDPWt_1FKiwhDph83XaGc0o0/edit?usp=sharing"",""งบพรบ!AX59"")"),81944)</f>
        <v>81944</v>
      </c>
      <c r="O93" s="93">
        <f t="shared" ca="1" si="50"/>
        <v>70.677936863895113</v>
      </c>
      <c r="P93" s="93">
        <f t="shared" ca="1" si="51"/>
        <v>65.014281180577598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IFERROR(__xludf.DUMMYFUNCTION("IMPORTRANGE(""https://docs.google.com/spreadsheets/d/1MeEWN-I1oV_STSDYn1IFDPWt_1FKiwhDph83XaGc0o0/edit?usp=sharing"",""งบพรบ!AT59"")"),0)</f>
        <v>0</v>
      </c>
      <c r="M96" s="93">
        <f ca="1">IFERROR(__xludf.DUMMYFUNCTION("IMPORTRANGE(""https://docs.google.com/spreadsheets/d/1MeEWN-I1oV_STSDYn1IFDPWt_1FKiwhDph83XaGc0o0/edit?usp=sharing"",""งบพรบ!AW59"")"),0)</f>
        <v>0</v>
      </c>
      <c r="N96" s="93">
        <f ca="1">IFERROR(__xludf.DUMMYFUNCTION("IMPORTRANGE(""https://docs.google.com/spreadsheets/d/1MeEWN-I1oV_STSDYn1IFDPWt_1FKiwhDph83XaGc0o0/edit?usp=sharing"",""งบพรบ!AY59"")"),0)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IFERROR(__xludf.DUMMYFUNCTION("IMPORTRANGE(""https://docs.google.com/spreadsheets/d/1QqKyyYR6Q21VydFLVH3TRQUabQu_ym0Zz7PgGX0-kHA/edit?usp=sharing"",""แผน!M59"")"),3)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IFERROR(__xludf.DUMMYFUNCTION("IMPORTRANGE(""https://docs.google.com/spreadsheets/d/1QqKyyYR6Q21VydFLVH3TRQUabQu_ym0Zz7PgGX0-kHA/edit?usp=sharing"",""แผน!P59"")"),2)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IFERROR(__xludf.DUMMYFUNCTION("IMPORTRANGE(""https://docs.google.com/spreadsheets/d/1QqKyyYR6Q21VydFLVH3TRQUabQu_ym0Zz7PgGX0-kHA/edit?usp=sharing"",""แผน!P59"")"),2)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IFERROR(__xludf.DUMMYFUNCTION("IMPORTRANGE(""https://docs.google.com/spreadsheets/d/1QqKyyYR6Q21VydFLVH3TRQUabQu_ym0Zz7PgGX0-kHA/edit?usp=sharing"",""แผน!R59"")"),10)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IFERROR(__xludf.DUMMYFUNCTION("IMPORTRANGE(""https://docs.google.com/spreadsheets/d/1QqKyyYR6Q21VydFLVH3TRQUabQu_ym0Zz7PgGX0-kHA/edit?usp=sharing"",""แผน!S59"")"),2)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IFERROR(__xludf.DUMMYFUNCTION("IMPORTRANGE(""https://docs.google.com/spreadsheets/d/1MeEWN-I1oV_STSDYn1IFDPWt_1FKiwhDph83XaGc0o0/edit?usp=sharing"",""งบพรบ!BA59"")"),0)</f>
        <v>0</v>
      </c>
      <c r="M124" s="93">
        <f ca="1">IFERROR(__xludf.DUMMYFUNCTION("IMPORTRANGE(""https://docs.google.com/spreadsheets/d/1MeEWN-I1oV_STSDYn1IFDPWt_1FKiwhDph83XaGc0o0/edit?usp=sharing"",""งบพรบ!BF59"")"),0)</f>
        <v>0</v>
      </c>
      <c r="N124" s="93">
        <f ca="1">IFERROR(__xludf.DUMMYFUNCTION("IMPORTRANGE(""https://docs.google.com/spreadsheets/d/1MeEWN-I1oV_STSDYn1IFDPWt_1FKiwhDph83XaGc0o0/edit?usp=sharing"",""งบพรบ!BH59"")"),0)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IFERROR(__xludf.DUMMYFUNCTION("IMPORTRANGE(""https://docs.google.com/spreadsheets/d/1MeEWN-I1oV_STSDYn1IFDPWt_1FKiwhDph83XaGc0o0/edit?usp=sharing"",""งบพรบ!BD59"")"),0)</f>
        <v>0</v>
      </c>
      <c r="M127" s="93">
        <f ca="1">IFERROR(__xludf.DUMMYFUNCTION("IMPORTRANGE(""https://docs.google.com/spreadsheets/d/1MeEWN-I1oV_STSDYn1IFDPWt_1FKiwhDph83XaGc0o0/edit?usp=sharing"",""งบพรบ!BG59"")"),0)</f>
        <v>0</v>
      </c>
      <c r="N127" s="93">
        <f ca="1">IFERROR(__xludf.DUMMYFUNCTION("IMPORTRANGE(""https://docs.google.com/spreadsheets/d/1MeEWN-I1oV_STSDYn1IFDPWt_1FKiwhDph83XaGc0o0/edit?usp=sharing"",""งบพรบ!BI59"")"),0)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IFERROR(__xludf.DUMMYFUNCTION("IMPORTRANGE(""https://docs.google.com/spreadsheets/d/1MeEWN-I1oV_STSDYn1IFDPWt_1FKiwhDph83XaGc0o0/edit?usp=sharing"",""งบพรบ!BK59"")"),0)</f>
        <v>0</v>
      </c>
      <c r="M137" s="93">
        <f ca="1">IFERROR(__xludf.DUMMYFUNCTION("IMPORTRANGE(""https://docs.google.com/spreadsheets/d/1MeEWN-I1oV_STSDYn1IFDPWt_1FKiwhDph83XaGc0o0/edit?usp=sharing"",""งบพรบ!BP59"")"),0)</f>
        <v>0</v>
      </c>
      <c r="N137" s="93">
        <f ca="1">IFERROR(__xludf.DUMMYFUNCTION("IMPORTRANGE(""https://docs.google.com/spreadsheets/d/1MeEWN-I1oV_STSDYn1IFDPWt_1FKiwhDph83XaGc0o0/edit?usp=sharing"",""งบพรบ!BR59"")"),0)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IFERROR(__xludf.DUMMYFUNCTION("IMPORTRANGE(""https://docs.google.com/spreadsheets/d/1MeEWN-I1oV_STSDYn1IFDPWt_1FKiwhDph83XaGc0o0/edit?usp=sharing"",""งบพรบ!BN59"")"),0)</f>
        <v>0</v>
      </c>
      <c r="M140" s="93">
        <f ca="1">IFERROR(__xludf.DUMMYFUNCTION("IMPORTRANGE(""https://docs.google.com/spreadsheets/d/1MeEWN-I1oV_STSDYn1IFDPWt_1FKiwhDph83XaGc0o0/edit?usp=sharing"",""งบพรบ!BQ59"")"),0)</f>
        <v>0</v>
      </c>
      <c r="N140" s="93">
        <f ca="1">IFERROR(__xludf.DUMMYFUNCTION("IMPORTRANGE(""https://docs.google.com/spreadsheets/d/1MeEWN-I1oV_STSDYn1IFDPWt_1FKiwhDph83XaGc0o0/edit?usp=sharing"",""งบพรบ!BS59"")"),0)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IFERROR(__xludf.DUMMYFUNCTION("IMPORTRANGE(""https://docs.google.com/spreadsheets/d/1MeEWN-I1oV_STSDYn1IFDPWt_1FKiwhDph83XaGc0o0/edit?usp=sharing"",""งบพรบ!BU59"")"),0)</f>
        <v>0</v>
      </c>
      <c r="M154" s="93">
        <f ca="1">IFERROR(__xludf.DUMMYFUNCTION("IMPORTRANGE(""https://docs.google.com/spreadsheets/d/1MeEWN-I1oV_STSDYn1IFDPWt_1FKiwhDph83XaGc0o0/edit?usp=sharing"",""งบพรบ!BZ59"")"),0)</f>
        <v>0</v>
      </c>
      <c r="N154" s="93">
        <f ca="1">IFERROR(__xludf.DUMMYFUNCTION("IMPORTRANGE(""https://docs.google.com/spreadsheets/d/1MeEWN-I1oV_STSDYn1IFDPWt_1FKiwhDph83XaGc0o0/edit?usp=sharing"",""งบพรบ!CB59"")"),0)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IFERROR(__xludf.DUMMYFUNCTION("IMPORTRANGE(""https://docs.google.com/spreadsheets/d/1MeEWN-I1oV_STSDYn1IFDPWt_1FKiwhDph83XaGc0o0/edit?usp=sharing"",""งบพรบ!BX59"")"),0)</f>
        <v>0</v>
      </c>
      <c r="M157" s="93">
        <f ca="1">IFERROR(__xludf.DUMMYFUNCTION("IMPORTRANGE(""https://docs.google.com/spreadsheets/d/1MeEWN-I1oV_STSDYn1IFDPWt_1FKiwhDph83XaGc0o0/edit?usp=sharing"",""งบพรบ!CA59"")"),0)</f>
        <v>0</v>
      </c>
      <c r="N157" s="93">
        <f ca="1">IFERROR(__xludf.DUMMYFUNCTION("IMPORTRANGE(""https://docs.google.com/spreadsheets/d/1MeEWN-I1oV_STSDYn1IFDPWt_1FKiwhDph83XaGc0o0/edit?usp=sharing"",""งบพรบ!CC59"")"),0)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IFERROR(__xludf.DUMMYFUNCTION("IMPORTRANGE(""https://docs.google.com/spreadsheets/d/1MeEWN-I1oV_STSDYn1IFDPWt_1FKiwhDph83XaGc0o0/edit?usp=sharing"",""งบพรบ!CE59"")"),0)</f>
        <v>0</v>
      </c>
      <c r="M170" s="93">
        <f ca="1">IFERROR(__xludf.DUMMYFUNCTION("IMPORTRANGE(""https://docs.google.com/spreadsheets/d/1MeEWN-I1oV_STSDYn1IFDPWt_1FKiwhDph83XaGc0o0/edit?usp=sharing"",""งบพรบ!CJ59"")"),0)</f>
        <v>0</v>
      </c>
      <c r="N170" s="93">
        <f ca="1">IFERROR(__xludf.DUMMYFUNCTION("IMPORTRANGE(""https://docs.google.com/spreadsheets/d/1MeEWN-I1oV_STSDYn1IFDPWt_1FKiwhDph83XaGc0o0/edit?usp=sharing"",""งบพรบ!CL59"")"),0)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IFERROR(__xludf.DUMMYFUNCTION("IMPORTRANGE(""https://docs.google.com/spreadsheets/d/1MeEWN-I1oV_STSDYn1IFDPWt_1FKiwhDph83XaGc0o0/edit?usp=sharing"",""งบพรบ!CH59"")"),0)</f>
        <v>0</v>
      </c>
      <c r="M173" s="93">
        <f ca="1">IFERROR(__xludf.DUMMYFUNCTION("IMPORTRANGE(""https://docs.google.com/spreadsheets/d/1MeEWN-I1oV_STSDYn1IFDPWt_1FKiwhDph83XaGc0o0/edit?usp=sharing"",""งบพรบ!CK59"")"),0)</f>
        <v>0</v>
      </c>
      <c r="N173" s="93">
        <f ca="1">IFERROR(__xludf.DUMMYFUNCTION("IMPORTRANGE(""https://docs.google.com/spreadsheets/d/1MeEWN-I1oV_STSDYn1IFDPWt_1FKiwhDph83XaGc0o0/edit?usp=sharing"",""งบพรบ!CM59"")"),0)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IFERROR(__xludf.DUMMYFUNCTION("IMPORTRANGE(""https://docs.google.com/spreadsheets/d/1QqKyyYR6Q21VydFLVH3TRQUabQu_ym0Zz7PgGX0-kHA/edit?usp=sharing"",""แผน!Y59"")"),0)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273800</v>
      </c>
      <c r="M181" s="155">
        <f t="shared" ca="1" si="92"/>
        <v>302010</v>
      </c>
      <c r="N181" s="155">
        <f t="shared" ca="1" si="92"/>
        <v>218488.95</v>
      </c>
      <c r="O181" s="155">
        <f t="shared" ref="O181:O189" ca="1" si="93">IF(L181&gt;0,N181*100/L181,0)</f>
        <v>79.798739956172383</v>
      </c>
      <c r="P181" s="155">
        <f t="shared" ref="P181:P189" ca="1" si="94">IF(M181&gt;0,N181*100/M181,0)</f>
        <v>72.344938909307643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273800</v>
      </c>
      <c r="M183" s="93">
        <f t="shared" ca="1" si="95"/>
        <v>302010</v>
      </c>
      <c r="N183" s="93">
        <f t="shared" ca="1" si="95"/>
        <v>218488.95</v>
      </c>
      <c r="O183" s="93">
        <f t="shared" ca="1" si="93"/>
        <v>79.798739956172383</v>
      </c>
      <c r="P183" s="93">
        <f t="shared" ca="1" si="94"/>
        <v>72.344938909307643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273800</v>
      </c>
      <c r="M184" s="497">
        <f t="shared" ca="1" si="96"/>
        <v>302010</v>
      </c>
      <c r="N184" s="497">
        <f t="shared" ca="1" si="96"/>
        <v>218488.95</v>
      </c>
      <c r="O184" s="497">
        <f t="shared" ca="1" si="93"/>
        <v>79.798739956172383</v>
      </c>
      <c r="P184" s="497">
        <f t="shared" ca="1" si="94"/>
        <v>72.344938909307643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IFERROR(__xludf.DUMMYFUNCTION("IMPORTRANGE(""https://docs.google.com/spreadsheets/d/1MeEWN-I1oV_STSDYn1IFDPWt_1FKiwhDph83XaGc0o0/edit?usp=sharing"",""งบพรบ!CO59"")"),273800)</f>
        <v>273800</v>
      </c>
      <c r="M186" s="93">
        <f ca="1">IFERROR(__xludf.DUMMYFUNCTION("IMPORTRANGE(""https://docs.google.com/spreadsheets/d/1MeEWN-I1oV_STSDYn1IFDPWt_1FKiwhDph83XaGc0o0/edit?usp=sharing"",""งบพรบ!CT59"")"),302010)</f>
        <v>302010</v>
      </c>
      <c r="N186" s="93">
        <f ca="1">IFERROR(__xludf.DUMMYFUNCTION("IMPORTRANGE(""https://docs.google.com/spreadsheets/d/1MeEWN-I1oV_STSDYn1IFDPWt_1FKiwhDph83XaGc0o0/edit?usp=sharing"",""งบพรบ!CV59"")"),218488.95)</f>
        <v>218488.95</v>
      </c>
      <c r="O186" s="93">
        <f t="shared" ca="1" si="93"/>
        <v>79.798739956172383</v>
      </c>
      <c r="P186" s="93">
        <f t="shared" ca="1" si="94"/>
        <v>72.344938909307643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IFERROR(__xludf.DUMMYFUNCTION("IMPORTRANGE(""https://docs.google.com/spreadsheets/d/1MeEWN-I1oV_STSDYn1IFDPWt_1FKiwhDph83XaGc0o0/edit?usp=sharing"",""งบพรบ!CR59"")"),0)</f>
        <v>0</v>
      </c>
      <c r="M189" s="93">
        <f ca="1">IFERROR(__xludf.DUMMYFUNCTION("IMPORTRANGE(""https://docs.google.com/spreadsheets/d/1MeEWN-I1oV_STSDYn1IFDPWt_1FKiwhDph83XaGc0o0/edit?usp=sharing"",""งบพรบ!CU59"")"),0)</f>
        <v>0</v>
      </c>
      <c r="N189" s="93">
        <f ca="1">IFERROR(__xludf.DUMMYFUNCTION("IMPORTRANGE(""https://docs.google.com/spreadsheets/d/1MeEWN-I1oV_STSDYn1IFDPWt_1FKiwhDph83XaGc0o0/edit?usp=sharing"",""งบพรบ!CW59"")"),0)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IFERROR(__xludf.DUMMYFUNCTION("IMPORTRANGE(""https://docs.google.com/spreadsheets/d/1QqKyyYR6Q21VydFLVH3TRQUabQu_ym0Zz7PgGX0-kHA/edit?usp=sharing"",""แผน!Z59"")"),6000)</f>
        <v>6000</v>
      </c>
      <c r="M191" s="155"/>
      <c r="N191" s="276">
        <v>2280</v>
      </c>
      <c r="O191" s="155">
        <f ca="1">IF(L191&gt;0,N191*100/L191,0)</f>
        <v>38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IFERROR(__xludf.DUMMYFUNCTION("IMPORTRANGE(""https://docs.google.com/spreadsheets/d/1QqKyyYR6Q21VydFLVH3TRQUabQu_ym0Zz7PgGX0-kHA/edit?usp=sharing"",""แผน!AE59"")"),1000)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IFERROR(__xludf.DUMMYFUNCTION("IMPORTRANGE(""https://docs.google.com/spreadsheets/d/1QqKyyYR6Q21VydFLVH3TRQUabQu_ym0Zz7PgGX0-kHA/edit?usp=sharing"",""แผน!AF59"")"),8000)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IFERROR(__xludf.DUMMYFUNCTION("IMPORTRANGE(""https://docs.google.com/spreadsheets/d/1QqKyyYR6Q21VydFLVH3TRQUabQu_ym0Zz7PgGX0-kHA/edit?usp=sharing"",""แผน!AG59"")"),4000)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IFERROR(__xludf.DUMMYFUNCTION("IMPORTRANGE(""https://docs.google.com/spreadsheets/d/1QqKyyYR6Q21VydFLVH3TRQUabQu_ym0Zz7PgGX0-kHA/edit?usp=sharing"",""แผน!AI59"")"),1)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IFERROR(__xludf.DUMMYFUNCTION("IMPORTRANGE(""https://docs.google.com/spreadsheets/d/1QqKyyYR6Q21VydFLVH3TRQUabQu_ym0Zz7PgGX0-kHA/edit?usp=sharing"",""แผน!AK59"")"),0)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IFERROR(__xludf.DUMMYFUNCTION("IMPORTRANGE(""https://docs.google.com/spreadsheets/d/1QqKyyYR6Q21VydFLVH3TRQUabQu_ym0Zz7PgGX0-kHA/edit?usp=sharing"",""แผน!AL59"")"),0)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IFERROR(__xludf.DUMMYFUNCTION("IMPORTRANGE(""https://docs.google.com/spreadsheets/d/1QqKyyYR6Q21VydFLVH3TRQUabQu_ym0Zz7PgGX0-kHA/edit?usp=sharing"",""แผน!AM59"")"),0)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IFERROR(__xludf.DUMMYFUNCTION("IMPORTRANGE(""https://docs.google.com/spreadsheets/d/1QqKyyYR6Q21VydFLVH3TRQUabQu_ym0Zz7PgGX0-kHA/edit?usp=sharing"",""แผน!AQ59"")"),8500)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IFERROR(__xludf.DUMMYFUNCTION("IMPORTRANGE(""https://docs.google.com/spreadsheets/d/1QqKyyYR6Q21VydFLVH3TRQUabQu_ym0Zz7PgGX0-kHA/edit?usp=sharing"",""แผน!AT59"")"),30000)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93200</v>
      </c>
      <c r="M227" s="356"/>
      <c r="N227" s="356">
        <f t="shared" ref="N227:N231" si="107">N238+N249</f>
        <v>60740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2260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53200</v>
      </c>
      <c r="M229" s="93"/>
      <c r="N229" s="93">
        <f t="shared" si="107"/>
        <v>38480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10000</v>
      </c>
      <c r="M230" s="93"/>
      <c r="N230" s="93">
        <f t="shared" si="107"/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93200</v>
      </c>
      <c r="M238" s="155"/>
      <c r="N238" s="155">
        <f>N239+N240+N241+N242</f>
        <v>60740</v>
      </c>
      <c r="O238" s="155">
        <f ca="1">IF(L238&gt;0,N238*100/L238,0)</f>
        <v>65.171673819742495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IFERROR(__xludf.DUMMYFUNCTION("IMPORTRANGE(""https://docs.google.com/spreadsheets/d/1QqKyyYR6Q21VydFLVH3TRQUabQu_ym0Zz7PgGX0-kHA/edit?usp=sharing"",""แผน!AV59"")"),20000)</f>
        <v>20000</v>
      </c>
      <c r="M239" s="283"/>
      <c r="N239" s="872">
        <v>2260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IFERROR(__xludf.DUMMYFUNCTION("IMPORTRANGE(""https://docs.google.com/spreadsheets/d/1QqKyyYR6Q21VydFLVH3TRQUabQu_ym0Zz7PgGX0-kHA/edit?usp=sharing"",""แผน!AW59"")"),53200)</f>
        <v>53200</v>
      </c>
      <c r="M240" s="283"/>
      <c r="N240" s="872">
        <v>38480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IFERROR(__xludf.DUMMYFUNCTION("IMPORTRANGE(""https://docs.google.com/spreadsheets/d/1QqKyyYR6Q21VydFLVH3TRQUabQu_ym0Zz7PgGX0-kHA/edit?usp=sharing"",""แผน!AX59"")"),10000)</f>
        <v>10000</v>
      </c>
      <c r="M241" s="283"/>
      <c r="N241" s="872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IFERROR(__xludf.DUMMYFUNCTION("IMPORTRANGE(""https://docs.google.com/spreadsheets/d/1QqKyyYR6Q21VydFLVH3TRQUabQu_ym0Zz7PgGX0-kHA/edit?usp=sharing"",""แผน!AY59"")"),10000)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IFERROR(__xludf.DUMMYFUNCTION("IMPORTRANGE(""https://docs.google.com/spreadsheets/d/1QqKyyYR6Q21VydFLVH3TRQUabQu_ym0Zz7PgGX0-kHA/edit?usp=sharing"",""แผน!AZ59"")"),0)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IFERROR(__xludf.DUMMYFUNCTION("IMPORTRANGE(""https://docs.google.com/spreadsheets/d/1QqKyyYR6Q21VydFLVH3TRQUabQu_ym0Zz7PgGX0-kHA/edit?usp=sharing"",""แผน!BA59"")"),0)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IFERROR(__xludf.DUMMYFUNCTION("IMPORTRANGE(""https://docs.google.com/spreadsheets/d/1QqKyyYR6Q21VydFLVH3TRQUabQu_ym0Zz7PgGX0-kHA/edit?usp=sharing"",""แผน!BB59"")"),0)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IFERROR(__xludf.DUMMYFUNCTION("IMPORTRANGE(""https://docs.google.com/spreadsheets/d/1QqKyyYR6Q21VydFLVH3TRQUabQu_ym0Zz7PgGX0-kHA/edit?usp=sharing"",""แผน!BC59"")"),0)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20288</v>
      </c>
      <c r="O261" s="155">
        <f t="shared" ref="O261:O269" ca="1" si="117">IF(L261&gt;0,N261*100/L261,0)</f>
        <v>75.420074349442373</v>
      </c>
      <c r="P261" s="155">
        <f t="shared" ref="P261:P269" ca="1" si="118">IF(M261&gt;0,N261*100/M261,0)</f>
        <v>75.420074349442373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20288</v>
      </c>
      <c r="O263" s="93">
        <f t="shared" ca="1" si="117"/>
        <v>75.420074349442373</v>
      </c>
      <c r="P263" s="93">
        <f t="shared" ca="1" si="118"/>
        <v>75.420074349442373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20288</v>
      </c>
      <c r="O264" s="497">
        <f t="shared" ca="1" si="117"/>
        <v>75.420074349442373</v>
      </c>
      <c r="P264" s="497">
        <f t="shared" ca="1" si="118"/>
        <v>75.420074349442373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IFERROR(__xludf.DUMMYFUNCTION("IMPORTRANGE(""https://docs.google.com/spreadsheets/d/1MeEWN-I1oV_STSDYn1IFDPWt_1FKiwhDph83XaGc0o0/edit?usp=sharing"",""งบพรบ!CY59"")"),26900)</f>
        <v>26900</v>
      </c>
      <c r="M266" s="93">
        <f ca="1">IFERROR(__xludf.DUMMYFUNCTION("IMPORTRANGE(""https://docs.google.com/spreadsheets/d/1MeEWN-I1oV_STSDYn1IFDPWt_1FKiwhDph83XaGc0o0/edit?usp=sharing"",""งบพรบ!DD59"")"),26900)</f>
        <v>26900</v>
      </c>
      <c r="N266" s="93">
        <f ca="1">IFERROR(__xludf.DUMMYFUNCTION("IMPORTRANGE(""https://docs.google.com/spreadsheets/d/1MeEWN-I1oV_STSDYn1IFDPWt_1FKiwhDph83XaGc0o0/edit?usp=sharing"",""งบพรบ!DF59"")"),20288)</f>
        <v>20288</v>
      </c>
      <c r="O266" s="93">
        <f t="shared" ca="1" si="117"/>
        <v>75.420074349442373</v>
      </c>
      <c r="P266" s="93">
        <f t="shared" ca="1" si="118"/>
        <v>75.420074349442373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IFERROR(__xludf.DUMMYFUNCTION("IMPORTRANGE(""https://docs.google.com/spreadsheets/d/1MeEWN-I1oV_STSDYn1IFDPWt_1FKiwhDph83XaGc0o0/edit?usp=sharing"",""งบพรบ!DB59"")"),0)</f>
        <v>0</v>
      </c>
      <c r="M269" s="93">
        <f ca="1">IFERROR(__xludf.DUMMYFUNCTION("IMPORTRANGE(""https://docs.google.com/spreadsheets/d/1MeEWN-I1oV_STSDYn1IFDPWt_1FKiwhDph83XaGc0o0/edit?usp=sharing"",""งบพรบ!DE59"")"),0)</f>
        <v>0</v>
      </c>
      <c r="N269" s="93">
        <f ca="1">IFERROR(__xludf.DUMMYFUNCTION("IMPORTRANGE(""https://docs.google.com/spreadsheets/d/1MeEWN-I1oV_STSDYn1IFDPWt_1FKiwhDph83XaGc0o0/edit?usp=sharing"",""งบพรบ!DG59"")"),0)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50</v>
      </c>
      <c r="J276" s="874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12330</v>
      </c>
      <c r="O277" s="155">
        <f t="shared" ref="O277:O285" ca="1" si="126">IF(L277&gt;0,N277*100/L277,0)</f>
        <v>54.48519664162616</v>
      </c>
      <c r="P277" s="155">
        <f t="shared" ref="P277:P285" ca="1" si="127">IF(M277&gt;0,N277*100/M277,0)</f>
        <v>54.48519664162616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12330</v>
      </c>
      <c r="O279" s="93">
        <f t="shared" ca="1" si="126"/>
        <v>54.48519664162616</v>
      </c>
      <c r="P279" s="93">
        <f t="shared" ca="1" si="127"/>
        <v>54.48519664162616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12330</v>
      </c>
      <c r="O280" s="497">
        <f t="shared" ca="1" si="126"/>
        <v>54.48519664162616</v>
      </c>
      <c r="P280" s="497">
        <f t="shared" ca="1" si="127"/>
        <v>54.48519664162616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IFERROR(__xludf.DUMMYFUNCTION("IMPORTRANGE(""https://docs.google.com/spreadsheets/d/1MeEWN-I1oV_STSDYn1IFDPWt_1FKiwhDph83XaGc0o0/edit?usp=sharing"",""งบพรบ!DI59"")"),22630)</f>
        <v>22630</v>
      </c>
      <c r="M282" s="93">
        <f ca="1">IFERROR(__xludf.DUMMYFUNCTION("IMPORTRANGE(""https://docs.google.com/spreadsheets/d/1MeEWN-I1oV_STSDYn1IFDPWt_1FKiwhDph83XaGc0o0/edit?usp=sharing"",""งบพรบ!DN59"")"),22630)</f>
        <v>22630</v>
      </c>
      <c r="N282" s="93">
        <f ca="1">IFERROR(__xludf.DUMMYFUNCTION("IMPORTRANGE(""https://docs.google.com/spreadsheets/d/1MeEWN-I1oV_STSDYn1IFDPWt_1FKiwhDph83XaGc0o0/edit?usp=sharing"",""งบพรบ!DP59"")"),12330)</f>
        <v>12330</v>
      </c>
      <c r="O282" s="93">
        <f t="shared" ca="1" si="126"/>
        <v>54.48519664162616</v>
      </c>
      <c r="P282" s="93">
        <f t="shared" ca="1" si="127"/>
        <v>54.48519664162616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IFERROR(__xludf.DUMMYFUNCTION("IMPORTRANGE(""https://docs.google.com/spreadsheets/d/1MeEWN-I1oV_STSDYn1IFDPWt_1FKiwhDph83XaGc0o0/edit?usp=sharing"",""งบพรบ!DL59"")"),0)</f>
        <v>0</v>
      </c>
      <c r="M285" s="93">
        <f ca="1">IFERROR(__xludf.DUMMYFUNCTION("IMPORTRANGE(""https://docs.google.com/spreadsheets/d/1MeEWN-I1oV_STSDYn1IFDPWt_1FKiwhDph83XaGc0o0/edit?usp=sharing"",""งบพรบ!DO59"")"),0)</f>
        <v>0</v>
      </c>
      <c r="N285" s="93">
        <f ca="1">IFERROR(__xludf.DUMMYFUNCTION("IMPORTRANGE(""https://docs.google.com/spreadsheets/d/1MeEWN-I1oV_STSDYn1IFDPWt_1FKiwhDph83XaGc0o0/edit?usp=sharing"",""งบพรบ!DQ59"")"),0)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IFERROR(__xludf.DUMMYFUNCTION("IMPORTRANGE(""https://docs.google.com/spreadsheets/d/1QqKyyYR6Q21VydFLVH3TRQUabQu_ym0Zz7PgGX0-kHA/edit?usp=sharing"",""แผน!EB59"")"),5)</f>
        <v>5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IFERROR(__xludf.DUMMYFUNCTION("IMPORTRANGE(""https://docs.google.com/spreadsheets/d/1QqKyyYR6Q21VydFLVH3TRQUabQu_ym0Zz7PgGX0-kHA/edit?usp=sharing"",""แผน!EB59"")"),5)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206800</v>
      </c>
      <c r="N298" s="155">
        <f t="shared" ca="1" si="135"/>
        <v>115971</v>
      </c>
      <c r="O298" s="155">
        <f t="shared" ref="O298:O306" ca="1" si="136">IF(L298&gt;0,N298*100/L298,0)</f>
        <v>56.07882011605416</v>
      </c>
      <c r="P298" s="155">
        <f t="shared" ref="P298:P306" ca="1" si="137">IF(M298&gt;0,N298*100/M298,0)</f>
        <v>56.07882011605416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206800</v>
      </c>
      <c r="N300" s="93">
        <f t="shared" ca="1" si="138"/>
        <v>115971</v>
      </c>
      <c r="O300" s="93">
        <f t="shared" ca="1" si="136"/>
        <v>56.07882011605416</v>
      </c>
      <c r="P300" s="93">
        <f t="shared" ca="1" si="137"/>
        <v>56.07882011605416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206800</v>
      </c>
      <c r="N301" s="497">
        <f t="shared" ca="1" si="139"/>
        <v>115971</v>
      </c>
      <c r="O301" s="497">
        <f t="shared" ca="1" si="136"/>
        <v>56.07882011605416</v>
      </c>
      <c r="P301" s="497">
        <f t="shared" ca="1" si="137"/>
        <v>56.07882011605416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IFERROR(__xludf.DUMMYFUNCTION("IMPORTRANGE(""https://docs.google.com/spreadsheets/d/1MeEWN-I1oV_STSDYn1IFDPWt_1FKiwhDph83XaGc0o0/edit?usp=sharing"",""งบพรบ!DS59"")"),206800)</f>
        <v>206800</v>
      </c>
      <c r="M303" s="93">
        <f ca="1">IFERROR(__xludf.DUMMYFUNCTION("IMPORTRANGE(""https://docs.google.com/spreadsheets/d/1MeEWN-I1oV_STSDYn1IFDPWt_1FKiwhDph83XaGc0o0/edit?usp=sharing"",""งบพรบ!DX59"")"),206800)</f>
        <v>206800</v>
      </c>
      <c r="N303" s="93">
        <f ca="1">IFERROR(__xludf.DUMMYFUNCTION("IMPORTRANGE(""https://docs.google.com/spreadsheets/d/1MeEWN-I1oV_STSDYn1IFDPWt_1FKiwhDph83XaGc0o0/edit?usp=sharing"",""งบพรบ!DZ59"")"),115971)</f>
        <v>115971</v>
      </c>
      <c r="O303" s="93">
        <f t="shared" ca="1" si="136"/>
        <v>56.07882011605416</v>
      </c>
      <c r="P303" s="93">
        <f t="shared" ca="1" si="137"/>
        <v>56.07882011605416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IFERROR(__xludf.DUMMYFUNCTION("IMPORTRANGE(""https://docs.google.com/spreadsheets/d/1MeEWN-I1oV_STSDYn1IFDPWt_1FKiwhDph83XaGc0o0/edit?usp=sharing"",""งบพรบ!DV59"")"),0)</f>
        <v>0</v>
      </c>
      <c r="M306" s="93">
        <f ca="1">IFERROR(__xludf.DUMMYFUNCTION("IMPORTRANGE(""https://docs.google.com/spreadsheets/d/1MeEWN-I1oV_STSDYn1IFDPWt_1FKiwhDph83XaGc0o0/edit?usp=sharing"",""งบพรบ!DY59"")"),0)</f>
        <v>0</v>
      </c>
      <c r="N306" s="93">
        <f ca="1">IFERROR(__xludf.DUMMYFUNCTION("IMPORTRANGE(""https://docs.google.com/spreadsheets/d/1MeEWN-I1oV_STSDYn1IFDPWt_1FKiwhDph83XaGc0o0/edit?usp=sharing"",""งบพรบ!EA59"")"),0)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IFERROR(__xludf.DUMMYFUNCTION("IMPORTRANGE(""https://docs.google.com/spreadsheets/d/1QqKyyYR6Q21VydFLVH3TRQUabQu_ym0Zz7PgGX0-kHA/edit?usp=sharing"",""แผน!ED59"")"),15)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IFERROR(__xludf.DUMMYFUNCTION("IMPORTRANGE(""https://docs.google.com/spreadsheets/d/1QqKyyYR6Q21VydFLVH3TRQUabQu_ym0Zz7PgGX0-kHA/edit?usp=sharing"",""แผน!ED59"")"),15)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IFERROR(__xludf.DUMMYFUNCTION("IMPORTRANGE(""https://docs.google.com/spreadsheets/d/1QqKyyYR6Q21VydFLVH3TRQUabQu_ym0Zz7PgGX0-kHA/edit?usp=sharing"",""แผน!ED59"")"),15)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IFERROR(__xludf.DUMMYFUNCTION("IMPORTRANGE(""https://docs.google.com/spreadsheets/d/1QqKyyYR6Q21VydFLVH3TRQUabQu_ym0Zz7PgGX0-kHA/edit?usp=sharing"",""แผน!EE59"")"),3)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IFERROR(__xludf.DUMMYFUNCTION("IMPORTRANGE(""https://docs.google.com/spreadsheets/d/1MeEWN-I1oV_STSDYn1IFDPWt_1FKiwhDph83XaGc0o0/edit?usp=sharing"",""งบพรบ!EC59"")"),0)</f>
        <v>0</v>
      </c>
      <c r="M320" s="93">
        <f ca="1">IFERROR(__xludf.DUMMYFUNCTION("IMPORTRANGE(""https://docs.google.com/spreadsheets/d/1MeEWN-I1oV_STSDYn1IFDPWt_1FKiwhDph83XaGc0o0/edit?usp=sharing"",""งบพรบ!EH59"")"),0)</f>
        <v>0</v>
      </c>
      <c r="N320" s="93">
        <f ca="1">IFERROR(__xludf.DUMMYFUNCTION("IMPORTRANGE(""https://docs.google.com/spreadsheets/d/1MeEWN-I1oV_STSDYn1IFDPWt_1FKiwhDph83XaGc0o0/edit?usp=sharing"",""งบพรบ!EJ59"")"),0)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IFERROR(__xludf.DUMMYFUNCTION("IMPORTRANGE(""https://docs.google.com/spreadsheets/d/1MeEWN-I1oV_STSDYn1IFDPWt_1FKiwhDph83XaGc0o0/edit?usp=sharing"",""งบพรบ!EF59"")"),0)</f>
        <v>0</v>
      </c>
      <c r="M323" s="93">
        <f ca="1">IFERROR(__xludf.DUMMYFUNCTION("IMPORTRANGE(""https://docs.google.com/spreadsheets/d/1MeEWN-I1oV_STSDYn1IFDPWt_1FKiwhDph83XaGc0o0/edit?usp=sharing"",""งบพรบ!EI59"")"),0)</f>
        <v>0</v>
      </c>
      <c r="N323" s="93">
        <f ca="1">IFERROR(__xludf.DUMMYFUNCTION("IMPORTRANGE(""https://docs.google.com/spreadsheets/d/1MeEWN-I1oV_STSDYn1IFDPWt_1FKiwhDph83XaGc0o0/edit?usp=sharing"",""งบพรบ!EK59"")"),0)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IFERROR(__xludf.DUMMYFUNCTION("IMPORTRANGE(""https://docs.google.com/spreadsheets/d/1QqKyyYR6Q21VydFLVH3TRQUabQu_ym0Zz7PgGX0-kHA/edit?usp=sharing"",""แผน!EG59"")"),600)</f>
        <v>600</v>
      </c>
      <c r="J327" s="444">
        <f ca="1">J338+J341+J342+J343</f>
        <v>788</v>
      </c>
      <c r="K327" s="445">
        <f ca="1">IF(I327&gt;0,J327*100/I327,0)</f>
        <v>131.33333333333334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788200</v>
      </c>
      <c r="M328" s="155">
        <f t="shared" ca="1" si="149"/>
        <v>790700</v>
      </c>
      <c r="N328" s="155">
        <f t="shared" ca="1" si="149"/>
        <v>556432</v>
      </c>
      <c r="O328" s="155">
        <f t="shared" ref="O328:O336" ca="1" si="150">IF(L328&gt;0,N328*100/L328,0)</f>
        <v>70.595280385688909</v>
      </c>
      <c r="P328" s="155">
        <f t="shared" ref="P328:P336" ca="1" si="151">IF(M328&gt;0,N328*100/M328,0)</f>
        <v>70.372075376248887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788200</v>
      </c>
      <c r="M330" s="93">
        <f t="shared" ca="1" si="152"/>
        <v>790700</v>
      </c>
      <c r="N330" s="93">
        <f t="shared" ca="1" si="152"/>
        <v>556432</v>
      </c>
      <c r="O330" s="93">
        <f t="shared" ca="1" si="150"/>
        <v>70.595280385688909</v>
      </c>
      <c r="P330" s="93">
        <f t="shared" ca="1" si="151"/>
        <v>70.372075376248887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788200</v>
      </c>
      <c r="M331" s="497">
        <f t="shared" ca="1" si="153"/>
        <v>790700</v>
      </c>
      <c r="N331" s="497">
        <f t="shared" ca="1" si="153"/>
        <v>556432</v>
      </c>
      <c r="O331" s="497">
        <f t="shared" ca="1" si="150"/>
        <v>70.595280385688909</v>
      </c>
      <c r="P331" s="497">
        <f t="shared" ca="1" si="151"/>
        <v>70.372075376248887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IFERROR(__xludf.DUMMYFUNCTION("IMPORTRANGE(""https://docs.google.com/spreadsheets/d/1MeEWN-I1oV_STSDYn1IFDPWt_1FKiwhDph83XaGc0o0/edit?usp=sharing"",""งบพรบ!EM59"")"),788200)</f>
        <v>788200</v>
      </c>
      <c r="M333" s="93">
        <f ca="1">IFERROR(__xludf.DUMMYFUNCTION("IMPORTRANGE(""https://docs.google.com/spreadsheets/d/1MeEWN-I1oV_STSDYn1IFDPWt_1FKiwhDph83XaGc0o0/edit?usp=sharing"",""งบพรบ!ER59"")"),790700)</f>
        <v>790700</v>
      </c>
      <c r="N333" s="93">
        <f ca="1">IFERROR(__xludf.DUMMYFUNCTION("IMPORTRANGE(""https://docs.google.com/spreadsheets/d/1MeEWN-I1oV_STSDYn1IFDPWt_1FKiwhDph83XaGc0o0/edit?usp=sharing"",""งบพรบ!ET59"")"),556432)</f>
        <v>556432</v>
      </c>
      <c r="O333" s="93">
        <f t="shared" ca="1" si="150"/>
        <v>70.595280385688909</v>
      </c>
      <c r="P333" s="93">
        <f t="shared" ca="1" si="151"/>
        <v>70.372075376248887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IFERROR(__xludf.DUMMYFUNCTION("IMPORTRANGE(""https://docs.google.com/spreadsheets/d/1MeEWN-I1oV_STSDYn1IFDPWt_1FKiwhDph83XaGc0o0/edit?usp=sharing"",""งบพรบ!EP59"")"),0)</f>
        <v>0</v>
      </c>
      <c r="M336" s="93">
        <f ca="1">IFERROR(__xludf.DUMMYFUNCTION("IMPORTRANGE(""https://docs.google.com/spreadsheets/d/1MeEWN-I1oV_STSDYn1IFDPWt_1FKiwhDph83XaGc0o0/edit?usp=sharing"",""งบพรบ!ES59"")"),0)</f>
        <v>0</v>
      </c>
      <c r="N336" s="93">
        <f ca="1">IFERROR(__xludf.DUMMYFUNCTION("IMPORTRANGE(""https://docs.google.com/spreadsheets/d/1MeEWN-I1oV_STSDYn1IFDPWt_1FKiwhDph83XaGc0o0/edit?usp=sharing"",""งบพรบ!EU59"")"),0)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IFERROR(__xludf.DUMMYFUNCTION("IMPORTRANGE(""https://docs.google.com/spreadsheets/d/1QqKyyYR6Q21VydFLVH3TRQUabQu_ym0Zz7PgGX0-kHA/edit?usp=sharing"",""แผน!EG59"")"),600)</f>
        <v>600</v>
      </c>
      <c r="J338" s="270">
        <f ca="1">IFERROR(__xludf.DUMMYFUNCTION("IMPORTRANGE(""https://docs.google.com/spreadsheets/d/1kVcqe37tkHyjCSG3S0O1AXqVkqjo8mSIZil3BcpIysc/edit?usp=sharing"",""ศูนย์!D59"")"),755)</f>
        <v>755</v>
      </c>
      <c r="K338" s="497">
        <f ca="1">IF(I338&gt;0,J338*100/I338,0)</f>
        <v>125.83333333333333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IFERROR(__xludf.DUMMYFUNCTION("IMPORTRANGE(""https://docs.google.com/spreadsheets/d/1QqKyyYR6Q21VydFLVH3TRQUabQu_ym0Zz7PgGX0-kHA/edit?usp=sharing"",""แผน!EH59"")"),2)</f>
        <v>2</v>
      </c>
      <c r="J340" s="270">
        <f ca="1">IFERROR(__xludf.DUMMYFUNCTION("IMPORTRANGE(""https://docs.google.com/spreadsheets/d/1kVcqe37tkHyjCSG3S0O1AXqVkqjo8mSIZil3BcpIysc/edit?usp=sharing"",""ศูนย์!E59"")"),1)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IFERROR(__xludf.DUMMYFUNCTION("IMPORTRANGE(""https://docs.google.com/spreadsheets/d/1kVcqe37tkHyjCSG3S0O1AXqVkqjo8mSIZil3BcpIysc/edit?usp=sharing"",""ศูนย์!F59"")"),33)</f>
        <v>33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374080</v>
      </c>
      <c r="M345" s="155">
        <f t="shared" ca="1" si="155"/>
        <v>371580</v>
      </c>
      <c r="N345" s="155">
        <f t="shared" ca="1" si="155"/>
        <v>299705</v>
      </c>
      <c r="O345" s="155">
        <f t="shared" ref="O345:O353" ca="1" si="156">IF(L345&gt;0,N345*100/L345,0)</f>
        <v>80.117889221556879</v>
      </c>
      <c r="P345" s="155">
        <f t="shared" ref="P345:P353" ca="1" si="157">IF(M345&gt;0,N345*100/M345,0)</f>
        <v>80.656924484633194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374080</v>
      </c>
      <c r="M347" s="93">
        <f t="shared" ca="1" si="158"/>
        <v>371580</v>
      </c>
      <c r="N347" s="93">
        <f t="shared" ca="1" si="158"/>
        <v>299705</v>
      </c>
      <c r="O347" s="93">
        <f t="shared" ca="1" si="156"/>
        <v>80.117889221556879</v>
      </c>
      <c r="P347" s="93">
        <f t="shared" ca="1" si="157"/>
        <v>80.656924484633194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200680</v>
      </c>
      <c r="M348" s="497">
        <f t="shared" ca="1" si="159"/>
        <v>198180</v>
      </c>
      <c r="N348" s="497">
        <f t="shared" ca="1" si="159"/>
        <v>126305</v>
      </c>
      <c r="O348" s="497">
        <f t="shared" ca="1" si="156"/>
        <v>62.938509069164837</v>
      </c>
      <c r="P348" s="497">
        <f t="shared" ca="1" si="157"/>
        <v>63.732465435462707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IFERROR(__xludf.DUMMYFUNCTION("IMPORTRANGE(""https://docs.google.com/spreadsheets/d/1MeEWN-I1oV_STSDYn1IFDPWt_1FKiwhDph83XaGc0o0/edit?usp=sharing"",""งบพรบ!EW59"")"),200680)</f>
        <v>200680</v>
      </c>
      <c r="M350" s="93">
        <f ca="1">IFERROR(__xludf.DUMMYFUNCTION("IMPORTRANGE(""https://docs.google.com/spreadsheets/d/1MeEWN-I1oV_STSDYn1IFDPWt_1FKiwhDph83XaGc0o0/edit?usp=sharing"",""งบพรบ!FB59"")"),198180)</f>
        <v>198180</v>
      </c>
      <c r="N350" s="93">
        <f ca="1">IFERROR(__xludf.DUMMYFUNCTION("IMPORTRANGE(""https://docs.google.com/spreadsheets/d/1MeEWN-I1oV_STSDYn1IFDPWt_1FKiwhDph83XaGc0o0/edit?usp=sharing"",""งบพรบ!FD59"")"),126305)</f>
        <v>126305</v>
      </c>
      <c r="O350" s="93">
        <f t="shared" ca="1" si="156"/>
        <v>62.938509069164837</v>
      </c>
      <c r="P350" s="93">
        <f t="shared" ca="1" si="157"/>
        <v>63.732465435462707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IFERROR(__xludf.DUMMYFUNCTION("IMPORTRANGE(""https://docs.google.com/spreadsheets/d/1MeEWN-I1oV_STSDYn1IFDPWt_1FKiwhDph83XaGc0o0/edit?usp=sharing"",""งบพรบ!EZ59"")"),173400)</f>
        <v>173400</v>
      </c>
      <c r="M353" s="93">
        <f ca="1">IFERROR(__xludf.DUMMYFUNCTION("IMPORTRANGE(""https://docs.google.com/spreadsheets/d/1MeEWN-I1oV_STSDYn1IFDPWt_1FKiwhDph83XaGc0o0/edit?usp=sharing"",""งบพรบ!FC59"")"),173400)</f>
        <v>173400</v>
      </c>
      <c r="N353" s="93">
        <f ca="1">IFERROR(__xludf.DUMMYFUNCTION("IMPORTRANGE(""https://docs.google.com/spreadsheets/d/1MeEWN-I1oV_STSDYn1IFDPWt_1FKiwhDph83XaGc0o0/edit?usp=sharing"",""งบพรบ!FE59"")"),173400)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IFERROR(__xludf.DUMMYFUNCTION("IMPORTRANGE(""https://docs.google.com/spreadsheets/d/1QqKyyYR6Q21VydFLVH3TRQUabQu_ym0Zz7PgGX0-kHA/edit?usp=sharing"",""แผน!EP59"")"),0)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IFERROR(__xludf.DUMMYFUNCTION("IMPORTRANGE(""https://docs.google.com/spreadsheets/d/1XWAQStnk-4SwqDmLtmXYiTMKHgktTP8We1SCoS47DrQ/edit?usp=sharing"",""จัดที่ดิน!W59"")"),0)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IFERROR(__xludf.DUMMYFUNCTION("IMPORTRANGE(""https://docs.google.com/spreadsheets/d/1QqKyyYR6Q21VydFLVH3TRQUabQu_ym0Zz7PgGX0-kHA/edit?usp=sharing"",""แผน!EO59"")"),0)</f>
        <v>0</v>
      </c>
      <c r="J359" s="270">
        <f ca="1">IFERROR(__xludf.DUMMYFUNCTION("IMPORTRANGE(""https://docs.google.com/spreadsheets/d/1XWAQStnk-4SwqDmLtmXYiTMKHgktTP8We1SCoS47DrQ/edit?usp=sharing"",""จัดที่ดิน!X59"")"),0)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IFERROR(__xludf.DUMMYFUNCTION("IMPORTRANGE(""https://docs.google.com/spreadsheets/d/1QqKyyYR6Q21VydFLVH3TRQUabQu_ym0Zz7PgGX0-kHA/edit?usp=sharing"",""แผน!EP59"")"),0)</f>
        <v>0</v>
      </c>
      <c r="J360" s="270">
        <f ca="1">IFERROR(__xludf.DUMMYFUNCTION("IMPORTRANGE(""https://docs.google.com/spreadsheets/d/1XWAQStnk-4SwqDmLtmXYiTMKHgktTP8We1SCoS47DrQ/edit?usp=sharing"",""จัดที่ดิน!Y59"")"),0)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IFERROR(__xludf.DUMMYFUNCTION("IMPORTRANGE(""https://docs.google.com/spreadsheets/d/1XWAQStnk-4SwqDmLtmXYiTMKHgktTP8We1SCoS47DrQ/edit?usp=sharing"",""จัดที่ดิน!Z59"")"),0)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IFERROR(__xludf.DUMMYFUNCTION("IMPORTRANGE(""https://docs.google.com/spreadsheets/d/1QqKyyYR6Q21VydFLVH3TRQUabQu_ym0Zz7PgGX0-kHA/edit?usp=sharing"",""แผน!EP59"")"),0)</f>
        <v>0</v>
      </c>
      <c r="J362" s="270">
        <f ca="1">IFERROR(__xludf.DUMMYFUNCTION("IMPORTRANGE(""https://docs.google.com/spreadsheets/d/1XWAQStnk-4SwqDmLtmXYiTMKHgktTP8We1SCoS47DrQ/edit?usp=sharing"",""จัดที่ดิน!AA59"")"),0)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IFERROR(__xludf.DUMMYFUNCTION("IMPORTRANGE(""https://docs.google.com/spreadsheets/d/1XWAQStnk-4SwqDmLtmXYiTMKHgktTP8We1SCoS47DrQ/edit?usp=sharing"",""จัดที่ดิน!AB59"")"),0)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25</v>
      </c>
      <c r="J364" s="478">
        <f t="shared" ca="1" si="162"/>
        <v>1</v>
      </c>
      <c r="K364" s="479">
        <f t="shared" ca="1" si="161"/>
        <v>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IFERROR(__xludf.DUMMYFUNCTION("IMPORTRANGE(""https://docs.google.com/spreadsheets/d/1QqKyyYR6Q21VydFLVH3TRQUabQu_ym0Zz7PgGX0-kHA/edit?usp=sharing"",""แผน!EJ59"")"),0)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IFERROR(__xludf.DUMMYFUNCTION("IMPORTRANGE(""https://docs.google.com/spreadsheets/d/1XWAQStnk-4SwqDmLtmXYiTMKHgktTP8We1SCoS47DrQ/edit?usp=sharing"",""จัดที่ดิน!E59"")"),0)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IFERROR(__xludf.DUMMYFUNCTION("IMPORTRANGE(""https://docs.google.com/spreadsheets/d/1QqKyyYR6Q21VydFLVH3TRQUabQu_ym0Zz7PgGX0-kHA/edit?usp=sharing"",""แผน!EI59"")"),0)</f>
        <v>0</v>
      </c>
      <c r="J369" s="270">
        <f ca="1">IFERROR(__xludf.DUMMYFUNCTION("IMPORTRANGE(""https://docs.google.com/spreadsheets/d/1XWAQStnk-4SwqDmLtmXYiTMKHgktTP8We1SCoS47DrQ/edit?usp=sharing"",""จัดที่ดิน!F59"")"),0)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IFERROR(__xludf.DUMMYFUNCTION("IMPORTRANGE(""https://docs.google.com/spreadsheets/d/1QqKyyYR6Q21VydFLVH3TRQUabQu_ym0Zz7PgGX0-kHA/edit?usp=sharing"",""แผน!EJ59"")"),0)</f>
        <v>0</v>
      </c>
      <c r="J370" s="270">
        <f ca="1">IFERROR(__xludf.DUMMYFUNCTION("IMPORTRANGE(""https://docs.google.com/spreadsheets/d/1XWAQStnk-4SwqDmLtmXYiTMKHgktTP8We1SCoS47DrQ/edit?usp=sharing"",""จัดที่ดิน!G59"")"),0)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IFERROR(__xludf.DUMMYFUNCTION("IMPORTRANGE(""https://docs.google.com/spreadsheets/d/1XWAQStnk-4SwqDmLtmXYiTMKHgktTP8We1SCoS47DrQ/edit?usp=sharing"",""จัดที่ดิน!H59"")"),0)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IFERROR(__xludf.DUMMYFUNCTION("IMPORTRANGE(""https://docs.google.com/spreadsheets/d/1QqKyyYR6Q21VydFLVH3TRQUabQu_ym0Zz7PgGX0-kHA/edit?usp=sharing"",""แผน!EJ59"")"),0)</f>
        <v>0</v>
      </c>
      <c r="J372" s="270">
        <f ca="1">IFERROR(__xludf.DUMMYFUNCTION("IMPORTRANGE(""https://docs.google.com/spreadsheets/d/1XWAQStnk-4SwqDmLtmXYiTMKHgktTP8We1SCoS47DrQ/edit?usp=sharing"",""จัดที่ดิน!I59"")"),0)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IFERROR(__xludf.DUMMYFUNCTION("IMPORTRANGE(""https://docs.google.com/spreadsheets/d/1XWAQStnk-4SwqDmLtmXYiTMKHgktTP8We1SCoS47DrQ/edit?usp=sharing"",""จัดที่ดิน!J59"")"),0)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IFERROR(__xludf.DUMMYFUNCTION("IMPORTRANGE(""https://docs.google.com/spreadsheets/d/1QqKyyYR6Q21VydFLVH3TRQUabQu_ym0Zz7PgGX0-kHA/edit?usp=sharing"",""แผน!EU59"")"),25)</f>
        <v>25</v>
      </c>
      <c r="J374" s="490">
        <f ca="1">J381</f>
        <v>1</v>
      </c>
      <c r="K374" s="491">
        <f t="shared" ca="1" si="163"/>
        <v>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IFERROR(__xludf.DUMMYFUNCTION("IMPORTRANGE(""https://docs.google.com/spreadsheets/d/1XWAQStnk-4SwqDmLtmXYiTMKHgktTP8We1SCoS47DrQ/edit?usp=sharing"",""จัดที่ดิน!AH59"")"),0)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IFERROR(__xludf.DUMMYFUNCTION("IMPORTRANGE(""https://docs.google.com/spreadsheets/d/1QqKyyYR6Q21VydFLVH3TRQUabQu_ym0Zz7PgGX0-kHA/edit?usp=sharing"",""แผน!ET59"")"),0)</f>
        <v>0</v>
      </c>
      <c r="J378" s="270">
        <f ca="1">IFERROR(__xludf.DUMMYFUNCTION("IMPORTRANGE(""https://docs.google.com/spreadsheets/d/1XWAQStnk-4SwqDmLtmXYiTMKHgktTP8We1SCoS47DrQ/edit?usp=sharing"",""จัดที่ดิน!AI59"")"),0)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IFERROR(__xludf.DUMMYFUNCTION("IMPORTRANGE(""https://docs.google.com/spreadsheets/d/1QqKyyYR6Q21VydFLVH3TRQUabQu_ym0Zz7PgGX0-kHA/edit?usp=sharing"",""แผน!EU59"")"),25)</f>
        <v>25</v>
      </c>
      <c r="J379" s="270">
        <f ca="1">IFERROR(__xludf.DUMMYFUNCTION("IMPORTRANGE(""https://docs.google.com/spreadsheets/d/1XWAQStnk-4SwqDmLtmXYiTMKHgktTP8We1SCoS47DrQ/edit?usp=sharing"",""จัดที่ดิน!AJ59"")"),4)</f>
        <v>4</v>
      </c>
      <c r="K379" s="497">
        <f t="shared" ca="1" si="164"/>
        <v>16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IFERROR(__xludf.DUMMYFUNCTION("IMPORTRANGE(""https://docs.google.com/spreadsheets/d/1XWAQStnk-4SwqDmLtmXYiTMKHgktTP8We1SCoS47DrQ/edit?usp=sharing"",""จัดที่ดิน!AK59"")"),65.81)</f>
        <v>65.81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IFERROR(__xludf.DUMMYFUNCTION("IMPORTRANGE(""https://docs.google.com/spreadsheets/d/1QqKyyYR6Q21VydFLVH3TRQUabQu_ym0Zz7PgGX0-kHA/edit?usp=sharing"",""แผน!EU59"")"),25)</f>
        <v>25</v>
      </c>
      <c r="J381" s="270">
        <f ca="1">IFERROR(__xludf.DUMMYFUNCTION("IMPORTRANGE(""https://docs.google.com/spreadsheets/d/1XWAQStnk-4SwqDmLtmXYiTMKHgktTP8We1SCoS47DrQ/edit?usp=sharing"",""จัดที่ดิน!AL59"")"),1)</f>
        <v>1</v>
      </c>
      <c r="K381" s="497">
        <f t="shared" ca="1" si="164"/>
        <v>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IFERROR(__xludf.DUMMYFUNCTION("IMPORTRANGE(""https://docs.google.com/spreadsheets/d/1XWAQStnk-4SwqDmLtmXYiTMKHgktTP8We1SCoS47DrQ/edit?usp=sharing"",""จัดที่ดิน!AM59"")"),5)</f>
        <v>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IFERROR(__xludf.DUMMYFUNCTION("IMPORTRANGE(""https://docs.google.com/spreadsheets/d/1QqKyyYR6Q21VydFLVH3TRQUabQu_ym0Zz7PgGX0-kHA/edit?usp=sharing"",""แผน!EW59"")"),5)</f>
        <v>5</v>
      </c>
      <c r="J385" s="501">
        <f ca="1">IFERROR(__xludf.DUMMYFUNCTION("IMPORTRANGE(""https://docs.google.com/spreadsheets/d/1XWAQStnk-4SwqDmLtmXYiTMKHgktTP8We1SCoS47DrQ/edit?usp=sharing"",""จัดที่ดิน!AP59"")"),0)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IFERROR(__xludf.DUMMYFUNCTION("IMPORTRANGE(""https://docs.google.com/spreadsheets/d/1MeEWN-I1oV_STSDYn1IFDPWt_1FKiwhDph83XaGc0o0/edit?usp=sharing"",""งบพรบ!FG59"")"),0)</f>
        <v>0</v>
      </c>
      <c r="M394" s="93">
        <f ca="1">IFERROR(__xludf.DUMMYFUNCTION("IMPORTRANGE(""https://docs.google.com/spreadsheets/d/1MeEWN-I1oV_STSDYn1IFDPWt_1FKiwhDph83XaGc0o0/edit?usp=sharing"",""งบพรบ!FL59"")"),0)</f>
        <v>0</v>
      </c>
      <c r="N394" s="93">
        <f ca="1">IFERROR(__xludf.DUMMYFUNCTION("IMPORTRANGE(""https://docs.google.com/spreadsheets/d/1MeEWN-I1oV_STSDYn1IFDPWt_1FKiwhDph83XaGc0o0/edit?usp=sharing"",""งบพรบ!FN59"")"),0)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IFERROR(__xludf.DUMMYFUNCTION("IMPORTRANGE(""https://docs.google.com/spreadsheets/d/1MeEWN-I1oV_STSDYn1IFDPWt_1FKiwhDph83XaGc0o0/edit?usp=sharing"",""งบพรบ!FJ59"")"),0)</f>
        <v>0</v>
      </c>
      <c r="M397" s="93">
        <f ca="1">IFERROR(__xludf.DUMMYFUNCTION("IMPORTRANGE(""https://docs.google.com/spreadsheets/d/1MeEWN-I1oV_STSDYn1IFDPWt_1FKiwhDph83XaGc0o0/edit?usp=sharing"",""งบพรบ!FM59"")"),0)</f>
        <v>0</v>
      </c>
      <c r="N397" s="93">
        <f ca="1">IFERROR(__xludf.DUMMYFUNCTION("IMPORTRANGE(""https://docs.google.com/spreadsheets/d/1MeEWN-I1oV_STSDYn1IFDPWt_1FKiwhDph83XaGc0o0/edit?usp=sharing"",""งบพรบ!FO59"")"),0)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IFERROR(__xludf.DUMMYFUNCTION("IMPORTRANGE(""https://docs.google.com/spreadsheets/d/1MeEWN-I1oV_STSDYn1IFDPWt_1FKiwhDph83XaGc0o0/edit?usp=sharing"",""งบพรบ!FQ59"")"),0)</f>
        <v>0</v>
      </c>
      <c r="M407" s="93">
        <f ca="1">IFERROR(__xludf.DUMMYFUNCTION("IMPORTRANGE(""https://docs.google.com/spreadsheets/d/1MeEWN-I1oV_STSDYn1IFDPWt_1FKiwhDph83XaGc0o0/edit?usp=sharing"",""งบพรบ!FV59"")"),0)</f>
        <v>0</v>
      </c>
      <c r="N407" s="93">
        <f ca="1">IFERROR(__xludf.DUMMYFUNCTION("IMPORTRANGE(""https://docs.google.com/spreadsheets/d/1MeEWN-I1oV_STSDYn1IFDPWt_1FKiwhDph83XaGc0o0/edit?usp=sharing"",""งบพรบ!FX59"")"),0)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IFERROR(__xludf.DUMMYFUNCTION("IMPORTRANGE(""https://docs.google.com/spreadsheets/d/1MeEWN-I1oV_STSDYn1IFDPWt_1FKiwhDph83XaGc0o0/edit?usp=sharing"",""งบพรบ!FT59"")"),0)</f>
        <v>0</v>
      </c>
      <c r="M410" s="93">
        <f ca="1">IFERROR(__xludf.DUMMYFUNCTION("IMPORTRANGE(""https://docs.google.com/spreadsheets/d/1MeEWN-I1oV_STSDYn1IFDPWt_1FKiwhDph83XaGc0o0/edit?usp=sharing"",""งบพรบ!FW59"")"),0)</f>
        <v>0</v>
      </c>
      <c r="N410" s="93">
        <f ca="1">IFERROR(__xludf.DUMMYFUNCTION("IMPORTRANGE(""https://docs.google.com/spreadsheets/d/1MeEWN-I1oV_STSDYn1IFDPWt_1FKiwhDph83XaGc0o0/edit?usp=sharing"",""งบพรบ!FY59"")"),0)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523510</v>
      </c>
      <c r="M414" s="549">
        <f t="shared" ca="1" si="181"/>
        <v>523510</v>
      </c>
      <c r="N414" s="549">
        <f t="shared" si="181"/>
        <v>310645</v>
      </c>
      <c r="O414" s="549">
        <f ca="1">IF(L414&gt;0,N414*100/L414,0)</f>
        <v>59.338885599128957</v>
      </c>
      <c r="P414" s="549">
        <f ca="1">IF(M414&gt;0,N414*100/M414,0)</f>
        <v>59.338885599128957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90</v>
      </c>
      <c r="J417" s="565">
        <f t="shared" ca="1" si="182"/>
        <v>90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271030</v>
      </c>
      <c r="M419" s="155">
        <f t="shared" ca="1" si="184"/>
        <v>271030</v>
      </c>
      <c r="N419" s="155">
        <f t="shared" si="184"/>
        <v>220390</v>
      </c>
      <c r="O419" s="155">
        <f t="shared" ref="O419:O424" ca="1" si="185">IF(L419&gt;0,N419*100/L419,0)</f>
        <v>81.315721506844255</v>
      </c>
      <c r="P419" s="155">
        <f t="shared" ref="P419:P424" ca="1" si="186">IF(M419&gt;0,N419*100/M419,0)</f>
        <v>81.315721506844255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271030</v>
      </c>
      <c r="M421" s="93">
        <f t="shared" ca="1" si="187"/>
        <v>271030</v>
      </c>
      <c r="N421" s="93">
        <f t="shared" si="187"/>
        <v>220390</v>
      </c>
      <c r="O421" s="93">
        <f t="shared" ca="1" si="185"/>
        <v>81.315721506844255</v>
      </c>
      <c r="P421" s="93">
        <f t="shared" ca="1" si="186"/>
        <v>81.315721506844255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271030</v>
      </c>
      <c r="M422" s="497">
        <f t="shared" ca="1" si="188"/>
        <v>271030</v>
      </c>
      <c r="N422" s="497">
        <f t="shared" si="188"/>
        <v>220390</v>
      </c>
      <c r="O422" s="497">
        <f t="shared" ca="1" si="185"/>
        <v>81.315721506844255</v>
      </c>
      <c r="P422" s="497">
        <f t="shared" ca="1" si="186"/>
        <v>81.315721506844255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IFERROR(__xludf.DUMMYFUNCTION("IMPORTRANGE(""https://docs.google.com/spreadsheets/d/1QqKyyYR6Q21VydFLVH3TRQUabQu_ym0Zz7PgGX0-kHA/edit?usp=sharing"",""แผน!EY59"")"),271030)</f>
        <v>271030</v>
      </c>
      <c r="M424" s="93">
        <f ca="1">L424</f>
        <v>271030</v>
      </c>
      <c r="N424" s="93">
        <f>N425+N426+N427+N428</f>
        <v>220390</v>
      </c>
      <c r="O424" s="93">
        <f t="shared" ca="1" si="185"/>
        <v>81.315721506844255</v>
      </c>
      <c r="P424" s="93">
        <f t="shared" ca="1" si="186"/>
        <v>81.315721506844255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220390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90</v>
      </c>
      <c r="J433" s="676">
        <f ca="1">IF(AND(J435=I435,J437=I437,J439=I439),I437+I439,IF(AND(J435=I437,J437=I437),I437,IF(AND(J435=I439,J439=I439),I439,0)))</f>
        <v>90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IFERROR(__xludf.DUMMYFUNCTION("IMPORTRANGE(""https://docs.google.com/spreadsheets/d/1QqKyyYR6Q21VydFLVH3TRQUabQu_ym0Zz7PgGX0-kHA/edit?usp=sharing"",""แผน!FC59"")"),90)</f>
        <v>90</v>
      </c>
      <c r="J435" s="579">
        <v>90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IFERROR(__xludf.DUMMYFUNCTION("IMPORTRANGE(""https://docs.google.com/spreadsheets/d/1QqKyyYR6Q21VydFLVH3TRQUabQu_ym0Zz7PgGX0-kHA/edit?usp=sharing"",""แผน!FD59"")"),70)</f>
        <v>70</v>
      </c>
      <c r="J437" s="579">
        <v>70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IFERROR(__xludf.DUMMYFUNCTION("IMPORTRANGE(""https://docs.google.com/spreadsheets/d/1QqKyyYR6Q21VydFLVH3TRQUabQu_ym0Zz7PgGX0-kHA/edit?usp=sharing"",""แผน!FE59"")"),1)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70060</v>
      </c>
      <c r="M444" s="195">
        <f t="shared" ca="1" si="197"/>
        <v>70060</v>
      </c>
      <c r="N444" s="195">
        <f t="shared" si="197"/>
        <v>54845</v>
      </c>
      <c r="O444" s="195">
        <f t="shared" ref="O444:O449" ca="1" si="198">IF(L444&gt;0,N444*100/L444,0)</f>
        <v>78.282900371110472</v>
      </c>
      <c r="P444" s="195">
        <f t="shared" ref="P444:P449" ca="1" si="199">IF(M444&gt;0,N444*100/M444,0)</f>
        <v>78.282900371110472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70060</v>
      </c>
      <c r="M446" s="93">
        <f t="shared" ca="1" si="200"/>
        <v>70060</v>
      </c>
      <c r="N446" s="93">
        <f t="shared" si="200"/>
        <v>54845</v>
      </c>
      <c r="O446" s="93">
        <f t="shared" ca="1" si="198"/>
        <v>78.282900371110472</v>
      </c>
      <c r="P446" s="93">
        <f t="shared" ca="1" si="199"/>
        <v>78.282900371110472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70060</v>
      </c>
      <c r="M447" s="497">
        <f t="shared" ca="1" si="201"/>
        <v>70060</v>
      </c>
      <c r="N447" s="497">
        <f t="shared" si="201"/>
        <v>54845</v>
      </c>
      <c r="O447" s="497">
        <f t="shared" ca="1" si="198"/>
        <v>78.282900371110472</v>
      </c>
      <c r="P447" s="497">
        <f t="shared" ca="1" si="199"/>
        <v>78.282900371110472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IFERROR(__xludf.DUMMYFUNCTION("IMPORTRANGE(""https://docs.google.com/spreadsheets/d/1QqKyyYR6Q21VydFLVH3TRQUabQu_ym0Zz7PgGX0-kHA/edit?usp=sharing"",""แผน!FJ59"")"),70060)</f>
        <v>70060</v>
      </c>
      <c r="M449" s="93">
        <f ca="1">L449</f>
        <v>70060</v>
      </c>
      <c r="N449" s="93">
        <f>N450+N451+N452+N453</f>
        <v>54845</v>
      </c>
      <c r="O449" s="93">
        <f t="shared" ca="1" si="198"/>
        <v>78.282900371110472</v>
      </c>
      <c r="P449" s="93">
        <f t="shared" ca="1" si="199"/>
        <v>78.282900371110472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17500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26000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11345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IFERROR(__xludf.DUMMYFUNCTION("IMPORTRANGE(""https://docs.google.com/spreadsheets/d/1QqKyyYR6Q21VydFLVH3TRQUabQu_ym0Zz7PgGX0-kHA/edit?usp=sharing"",""แผน!FN59"")"),10)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IFERROR(__xludf.DUMMYFUNCTION("IMPORTRANGE(""https://docs.google.com/spreadsheets/d/1QqKyyYR6Q21VydFLVH3TRQUabQu_ym0Zz7PgGX0-kHA/edit?usp=sharing"",""แผน!FO59"")"),20)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IFERROR(__xludf.DUMMYFUNCTION("IMPORTRANGE(""https://docs.google.com/spreadsheets/d/1QqKyyYR6Q21VydFLVH3TRQUabQu_ym0Zz7PgGX0-kHA/edit?usp=sharing"",""แผน!FO59"")"),20)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IFERROR(__xludf.DUMMYFUNCTION("IMPORTRANGE(""https://docs.google.com/spreadsheets/d/1QqKyyYR6Q21VydFLVH3TRQUabQu_ym0Zz7PgGX0-kHA/edit?usp=sharing"",""แผน!FN59"")"),10)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IFERROR(__xludf.DUMMYFUNCTION("IMPORTRANGE(""https://docs.google.com/spreadsheets/d/1QqKyyYR6Q21VydFLVH3TRQUabQu_ym0Zz7PgGX0-kHA/edit?usp=sharing"",""แผน!FX59"")"),0)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IFERROR(__xludf.DUMMYFUNCTION("IMPORTRANGE(""https://docs.google.com/spreadsheets/d/1QqKyyYR6Q21VydFLVH3TRQUabQu_ym0Zz7PgGX0-kHA/edit?usp=sharing"",""แผน!FW59"")"),0)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IFERROR(__xludf.DUMMYFUNCTION("IMPORTRANGE(""https://docs.google.com/spreadsheets/d/1QqKyyYR6Q21VydFLVH3TRQUabQu_ym0Zz7PgGX0-kHA/edit?usp=sharing"",""แผน!FS59"")"),0)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IFERROR(__xludf.DUMMYFUNCTION("IMPORTRANGE(""https://docs.google.com/spreadsheets/d/1QqKyyYR6Q21VydFLVH3TRQUabQu_ym0Zz7PgGX0-kHA/edit?usp=sharing"",""แผน!FY59"")"),0)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IFERROR(__xludf.DUMMYFUNCTION("IMPORTRANGE(""https://docs.google.com/spreadsheets/d/1QqKyyYR6Q21VydFLVH3TRQUabQu_ym0Zz7PgGX0-kHA/edit?usp=sharing"",""แผน!FZ59"")"),0)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IFERROR(__xludf.DUMMYFUNCTION("IMPORTRANGE(""https://docs.google.com/spreadsheets/d/1QqKyyYR6Q21VydFLVH3TRQUabQu_ym0Zz7PgGX0-kHA/edit?usp=sharing"",""แผน!GA59"")"),0)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IFERROR(__xludf.DUMMYFUNCTION("IMPORTRANGE(""https://docs.google.com/spreadsheets/d/1QqKyyYR6Q21VydFLVH3TRQUabQu_ym0Zz7PgGX0-kHA/edit?usp=sharing"",""แผน!GB59"")"),0)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IFERROR(__xludf.DUMMYFUNCTION("IMPORTRANGE(""https://docs.google.com/spreadsheets/d/1QqKyyYR6Q21VydFLVH3TRQUabQu_ym0Zz7PgGX0-kHA/edit?usp=sharing"",""แผน!GC59"")"),0)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IFERROR(__xludf.DUMMYFUNCTION("IMPORTRANGE(""https://docs.google.com/spreadsheets/d/1QqKyyYR6Q21VydFLVH3TRQUabQu_ym0Zz7PgGX0-kHA/edit?usp=sharing"",""แผน!FY59"")"),0)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IFERROR(__xludf.DUMMYFUNCTION("IMPORTRANGE(""https://docs.google.com/spreadsheets/d/1QqKyyYR6Q21VydFLVH3TRQUabQu_ym0Zz7PgGX0-kHA/edit?usp=sharing"",""แผน!GA59"")"),0)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IFERROR(__xludf.DUMMYFUNCTION("IMPORTRANGE(""https://docs.google.com/spreadsheets/d/1QqKyyYR6Q21VydFLVH3TRQUabQu_ym0Zz7PgGX0-kHA/edit?usp=sharing"",""แผน!GU59"")"),0)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120300</v>
      </c>
      <c r="M544" s="155">
        <f t="shared" ca="1" si="236"/>
        <v>120300</v>
      </c>
      <c r="N544" s="155">
        <f t="shared" si="236"/>
        <v>31070</v>
      </c>
      <c r="O544" s="155">
        <f t="shared" ref="O544:O549" ca="1" si="237">IF(L544&gt;0,N544*100/L544,0)</f>
        <v>25.827098919368247</v>
      </c>
      <c r="P544" s="155">
        <f t="shared" ref="P544:P549" ca="1" si="238">IF(M544&gt;0,N544*100/M544,0)</f>
        <v>25.827098919368247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120300</v>
      </c>
      <c r="M546" s="93">
        <f t="shared" ca="1" si="240"/>
        <v>120300</v>
      </c>
      <c r="N546" s="93">
        <f t="shared" si="240"/>
        <v>31070</v>
      </c>
      <c r="O546" s="93">
        <f t="shared" ca="1" si="237"/>
        <v>25.827098919368247</v>
      </c>
      <c r="P546" s="93">
        <f t="shared" ca="1" si="238"/>
        <v>25.827098919368247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120300</v>
      </c>
      <c r="M547" s="497">
        <f t="shared" ca="1" si="241"/>
        <v>120300</v>
      </c>
      <c r="N547" s="497">
        <f t="shared" si="241"/>
        <v>31070</v>
      </c>
      <c r="O547" s="497">
        <f t="shared" ca="1" si="237"/>
        <v>25.827098919368247</v>
      </c>
      <c r="P547" s="497">
        <f t="shared" ca="1" si="238"/>
        <v>25.827098919368247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IFERROR(__xludf.DUMMYFUNCTION("IMPORTRANGE(""https://docs.google.com/spreadsheets/d/1QqKyyYR6Q21VydFLVH3TRQUabQu_ym0Zz7PgGX0-kHA/edit?usp=sharing"",""แผน!HB59"")"),120300)</f>
        <v>120300</v>
      </c>
      <c r="M549" s="93">
        <f ca="1">L549</f>
        <v>120300</v>
      </c>
      <c r="N549" s="93">
        <f>N550+N551+N552+N553+N554</f>
        <v>31070</v>
      </c>
      <c r="O549" s="93">
        <f t="shared" ca="1" si="237"/>
        <v>25.827098919368247</v>
      </c>
      <c r="P549" s="93">
        <f t="shared" ca="1" si="238"/>
        <v>25.827098919368247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27010+1580+1240+1240</f>
        <v>31070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IFERROR(__xludf.DUMMYFUNCTION("IMPORTRANGE(""https://docs.google.com/spreadsheets/d/1QqKyyYR6Q21VydFLVH3TRQUabQu_ym0Zz7PgGX0-kHA/edit?usp=sharing"",""แผน!HH59"")"),0)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IFERROR(__xludf.DUMMYFUNCTION("IMPORTRANGE(""https://docs.google.com/spreadsheets/d/1QqKyyYR6Q21VydFLVH3TRQUabQu_ym0Zz7PgGX0-kHA/edit?usp=sharing"",""แผน!HG59"")"),0)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IFERROR(__xludf.DUMMYFUNCTION("IMPORTRANGE(""https://docs.google.com/spreadsheets/d/1QqKyyYR6Q21VydFLVH3TRQUabQu_ym0Zz7PgGX0-kHA/edit?usp=sharing"",""แผน!HH59"")"),0)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IFERROR(__xludf.DUMMYFUNCTION("IMPORTRANGE(""https://docs.google.com/spreadsheets/d/1QqKyyYR6Q21VydFLVH3TRQUabQu_ym0Zz7PgGX0-kHA/edit?usp=sharing"",""แผน!HG59"")"),0)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IFERROR(__xludf.DUMMYFUNCTION("IMPORTRANGE(""https://docs.google.com/spreadsheets/d/1QqKyyYR6Q21VydFLVH3TRQUabQu_ym0Zz7PgGX0-kHA/edit?usp=sharing"",""แผน!HH59"")"),0)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IFERROR(__xludf.DUMMYFUNCTION("IMPORTRANGE(""https://docs.google.com/spreadsheets/d/1QqKyyYR6Q21VydFLVH3TRQUabQu_ym0Zz7PgGX0-kHA/edit?usp=sharing"",""แผน!HG59"")"),0)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3540.25</v>
      </c>
      <c r="J592" s="703">
        <f t="shared" si="253"/>
        <v>2163.3775000000001</v>
      </c>
      <c r="K592" s="672">
        <f t="shared" ref="K592:K594" ca="1" si="254">IF(I592&gt;0,J592*100/I592,0)</f>
        <v>61.108043217286912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IFERROR(__xludf.DUMMYFUNCTION("IMPORTRANGE(""https://docs.google.com/spreadsheets/d/1QqKyyYR6Q21VydFLVH3TRQUabQu_ym0Zz7PgGX0-kHA/edit?usp=sharing"",""แผน!HJ59"")"),3540.25)</f>
        <v>3540.25</v>
      </c>
      <c r="J593" s="193">
        <f t="shared" ref="J593:J594" si="255">J595+J603+J609</f>
        <v>2163.3775000000001</v>
      </c>
      <c r="K593" s="411">
        <f t="shared" ca="1" si="254"/>
        <v>61.108043217286912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IFERROR(__xludf.DUMMYFUNCTION("IMPORTRANGE(""https://docs.google.com/spreadsheets/d/1QqKyyYR6Q21VydFLVH3TRQUabQu_ym0Zz7PgGX0-kHA/edit?usp=sharing"",""แผน!HI59"")"),181)</f>
        <v>181</v>
      </c>
      <c r="J594" s="193">
        <f t="shared" si="255"/>
        <v>110</v>
      </c>
      <c r="K594" s="411">
        <f t="shared" ca="1" si="254"/>
        <v>60.773480662983424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1977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101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1977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101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186.3775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186.3775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IFERROR(__xludf.DUMMYFUNCTION("IMPORTRANGE(""https://docs.google.com/spreadsheets/d/1QqKyyYR6Q21VydFLVH3TRQUabQu_ym0Zz7PgGX0-kHA/edit?usp=sharing"",""แผน!HL59"")"),0)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IFERROR(__xludf.DUMMYFUNCTION("IMPORTRANGE(""https://docs.google.com/spreadsheets/d/1QqKyyYR6Q21VydFLVH3TRQUabQu_ym0Zz7PgGX0-kHA/edit?usp=sharing"",""แผน!HK59"")"),0)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IFERROR(__xludf.DUMMYFUNCTION("IMPORTRANGE(""https://docs.google.com/spreadsheets/d/1QqKyyYR6Q21VydFLVH3TRQUabQu_ym0Zz7PgGX0-kHA/edit?usp=sharing"",""แผน!HN59"")"),0)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IFERROR(__xludf.DUMMYFUNCTION("IMPORTRANGE(""https://docs.google.com/spreadsheets/d/1XWAQStnk-4SwqDmLtmXYiTMKHgktTP8We1SCoS47DrQ/edit?usp=sharing"",""จัดที่ดิน!AS59"")"),0)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IFERROR(__xludf.DUMMYFUNCTION("IMPORTRANGE(""https://docs.google.com/spreadsheets/d/1XWAQStnk-4SwqDmLtmXYiTMKHgktTP8We1SCoS47DrQ/edit?usp=sharing"",""จัดที่ดิน!AT59"")"),0)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IFERROR(__xludf.DUMMYFUNCTION("IMPORTRANGE(""https://docs.google.com/spreadsheets/d/1QqKyyYR6Q21VydFLVH3TRQUabQu_ym0Zz7PgGX0-kHA/edit?usp=sharing"",""แผน!HS59"")"),0)</f>
        <v>0</v>
      </c>
      <c r="J647" s="270">
        <f ca="1">IFERROR(__xludf.DUMMYFUNCTION("IMPORTRANGE(""https://docs.google.com/spreadsheets/d/1XWAQStnk-4SwqDmLtmXYiTMKHgktTP8We1SCoS47DrQ/edit?usp=sharing"",""จัดที่ดิน!AU59"")"),0)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IFERROR(__xludf.DUMMYFUNCTION("IMPORTRANGE(""https://docs.google.com/spreadsheets/d/1XWAQStnk-4SwqDmLtmXYiTMKHgktTP8We1SCoS47DrQ/edit?usp=sharing"",""จัดที่ดิน!AV59"")"),0)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IFERROR(__xludf.DUMMYFUNCTION("IMPORTRANGE(""https://docs.google.com/spreadsheets/d/1QqKyyYR6Q21VydFLVH3TRQUabQu_ym0Zz7PgGX0-kHA/edit?usp=sharing"",""แผน!HS59"")"),0)</f>
        <v>0</v>
      </c>
      <c r="J649" s="270">
        <f ca="1">IFERROR(__xludf.DUMMYFUNCTION("IMPORTRANGE(""https://docs.google.com/spreadsheets/d/1XWAQStnk-4SwqDmLtmXYiTMKHgktTP8We1SCoS47DrQ/edit?usp=sharing"",""จัดที่ดิน!AW59"")"),0)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IFERROR(__xludf.DUMMYFUNCTION("IMPORTRANGE(""https://docs.google.com/spreadsheets/d/1QqKyyYR6Q21VydFLVH3TRQUabQu_ym0Zz7PgGX0-kHA/edit?usp=sharing"",""แผน!HS59"")"),0)</f>
        <v>0</v>
      </c>
      <c r="J651" s="270">
        <f ca="1">IFERROR(__xludf.DUMMYFUNCTION("IMPORTRANGE(""https://docs.google.com/spreadsheets/d/1XWAQStnk-4SwqDmLtmXYiTMKHgktTP8We1SCoS47DrQ/edit?usp=sharing"",""จัดที่ดิน!AY59"")"),0)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7800</v>
      </c>
      <c r="M655" s="195">
        <f t="shared" ca="1" si="273"/>
        <v>7800</v>
      </c>
      <c r="N655" s="195">
        <f t="shared" si="273"/>
        <v>1500</v>
      </c>
      <c r="O655" s="195">
        <f t="shared" ref="O655:O660" ca="1" si="274">IF(L655&gt;0,N655*100/L655,0)</f>
        <v>19.23076923076923</v>
      </c>
      <c r="P655" s="195">
        <f t="shared" ref="P655:P660" ca="1" si="275">IF(M655&gt;0,N655*100/M655,0)</f>
        <v>19.23076923076923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7800</v>
      </c>
      <c r="M657" s="93">
        <f t="shared" ca="1" si="276"/>
        <v>7800</v>
      </c>
      <c r="N657" s="93">
        <f t="shared" si="276"/>
        <v>1500</v>
      </c>
      <c r="O657" s="93">
        <f t="shared" ca="1" si="274"/>
        <v>19.23076923076923</v>
      </c>
      <c r="P657" s="93">
        <f t="shared" ca="1" si="275"/>
        <v>19.23076923076923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7800</v>
      </c>
      <c r="M658" s="497">
        <f t="shared" ca="1" si="277"/>
        <v>7800</v>
      </c>
      <c r="N658" s="497">
        <f t="shared" si="277"/>
        <v>1500</v>
      </c>
      <c r="O658" s="497">
        <f t="shared" ca="1" si="274"/>
        <v>19.23076923076923</v>
      </c>
      <c r="P658" s="497">
        <f t="shared" ca="1" si="275"/>
        <v>19.23076923076923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IFERROR(__xludf.DUMMYFUNCTION("IMPORTRANGE(""https://docs.google.com/spreadsheets/d/1QqKyyYR6Q21VydFLVH3TRQUabQu_ym0Zz7PgGX0-kHA/edit?usp=sharing"",""แผน!HV59"")"),7800)</f>
        <v>7800</v>
      </c>
      <c r="M660" s="93">
        <f ca="1">L660</f>
        <v>7800</v>
      </c>
      <c r="N660" s="93">
        <f>N661+N662+N663+N664</f>
        <v>1500</v>
      </c>
      <c r="O660" s="93">
        <f t="shared" ca="1" si="274"/>
        <v>19.23076923076923</v>
      </c>
      <c r="P660" s="93">
        <f t="shared" ca="1" si="275"/>
        <v>19.23076923076923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1500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IFERROR(__xludf.DUMMYFUNCTION("IMPORTRANGE(""https://docs.google.com/spreadsheets/d/1QqKyyYR6Q21VydFLVH3TRQUabQu_ym0Zz7PgGX0-kHA/edit?usp=sharing"",""แผน!IA59"")"),50)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IFERROR(__xludf.DUMMYFUNCTION("IMPORTRANGE(""https://docs.google.com/spreadsheets/d/1QqKyyYR6Q21VydFLVH3TRQUabQu_ym0Zz7PgGX0-kHA/edit?usp=sharing"",""แผน!HZ59"")"),3)</f>
        <v>3</v>
      </c>
      <c r="J670" s="215">
        <v>3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IFERROR(__xludf.DUMMYFUNCTION("IMPORTRANGE(""https://docs.google.com/spreadsheets/d/1QqKyyYR6Q21VydFLVH3TRQUabQu_ym0Zz7PgGX0-kHA/edit?usp=sharing"",""แผน!HZ59"")"),3)</f>
        <v>3</v>
      </c>
      <c r="J671" s="215">
        <v>3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142</v>
      </c>
      <c r="K672" s="497">
        <f t="shared" ref="K672:K675" ca="1" si="281">IF(I$669&gt;0,J672*100/I$669,0)</f>
        <v>284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54320</v>
      </c>
      <c r="M685" s="195">
        <f t="shared" ca="1" si="282"/>
        <v>54320</v>
      </c>
      <c r="N685" s="195">
        <f t="shared" si="282"/>
        <v>2840</v>
      </c>
      <c r="O685" s="195">
        <f t="shared" ref="O685:O688" ca="1" si="283">IF(L685&gt;0,N685*100/L685,0)</f>
        <v>5.2282768777614139</v>
      </c>
      <c r="P685" s="195">
        <f t="shared" ref="P685:P688" ca="1" si="284">IF(M685&gt;0,N685*100/M685,0)</f>
        <v>5.2282768777614139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54320</v>
      </c>
      <c r="M687" s="93">
        <f t="shared" ca="1" si="285"/>
        <v>54320</v>
      </c>
      <c r="N687" s="93">
        <f t="shared" si="285"/>
        <v>2840</v>
      </c>
      <c r="O687" s="93">
        <f t="shared" ca="1" si="283"/>
        <v>5.2282768777614139</v>
      </c>
      <c r="P687" s="93">
        <f t="shared" ca="1" si="284"/>
        <v>5.2282768777614139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54320</v>
      </c>
      <c r="M688" s="497">
        <f t="shared" ca="1" si="286"/>
        <v>54320</v>
      </c>
      <c r="N688" s="497">
        <f t="shared" si="286"/>
        <v>2840</v>
      </c>
      <c r="O688" s="497">
        <f t="shared" ca="1" si="283"/>
        <v>5.2282768777614139</v>
      </c>
      <c r="P688" s="497">
        <f t="shared" ca="1" si="284"/>
        <v>5.2282768777614139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IFERROR(__xludf.DUMMYFUNCTION("IMPORTRANGE(""https://docs.google.com/spreadsheets/d/1QqKyyYR6Q21VydFLVH3TRQUabQu_ym0Zz7PgGX0-kHA/edit?usp=sharing"",""แผน!HW59"")"),54320)</f>
        <v>54320</v>
      </c>
      <c r="M690" s="93">
        <f ca="1">L690</f>
        <v>54320</v>
      </c>
      <c r="N690" s="93">
        <f>N691+N692+N693+N694</f>
        <v>2840</v>
      </c>
      <c r="O690" s="93">
        <f ca="1">IF(L690&gt;0,N690*100/L690,0)</f>
        <v>5.2282768777614139</v>
      </c>
      <c r="P690" s="93">
        <f ca="1">IF(M690&gt;0,N690*100/M690,0)</f>
        <v>5.2282768777614139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f>1360+1480</f>
        <v>2840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IFERROR(__xludf.DUMMYFUNCTION("IMPORTRANGE(""https://docs.google.com/spreadsheets/d/1QqKyyYR6Q21VydFLVH3TRQUabQu_ym0Zz7PgGX0-kHA/edit?usp=sharing"",""แผน!IC59"")"),0)</f>
        <v>0</v>
      </c>
      <c r="J699" s="270">
        <f ca="1">IFERROR(__xludf.DUMMYFUNCTION("IMPORTRANGE(""https://docs.google.com/spreadsheets/d/1XWAQStnk-4SwqDmLtmXYiTMKHgktTP8We1SCoS47DrQ/edit?usp=sharing"",""จัดที่ดิน!BB59"")"),0)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IFERROR(__xludf.DUMMYFUNCTION("IMPORTRANGE(""https://docs.google.com/spreadsheets/d/1QqKyyYR6Q21VydFLVH3TRQUabQu_ym0Zz7PgGX0-kHA/edit?usp=sharing"",""แผน!ID59"")"),0)</f>
        <v>0</v>
      </c>
      <c r="J700" s="270">
        <f ca="1">IFERROR(__xludf.DUMMYFUNCTION("IMPORTRANGE(""https://docs.google.com/spreadsheets/d/1XWAQStnk-4SwqDmLtmXYiTMKHgktTP8We1SCoS47DrQ/edit?usp=sharing"",""จัดที่ดิน!BD59"")"),0)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IFERROR(__xludf.DUMMYFUNCTION("IMPORTRANGE(""https://docs.google.com/spreadsheets/d/1QqKyyYR6Q21VydFLVH3TRQUabQu_ym0Zz7PgGX0-kHA/edit?usp=sharing"",""แผน!IE59"")"),541)</f>
        <v>541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IFERROR(__xludf.DUMMYFUNCTION("IMPORTRANGE(""https://docs.google.com/spreadsheets/d/1QqKyyYR6Q21VydFLVH3TRQUabQu_ym0Zz7PgGX0-kHA/edit?usp=sharing"",""แผน!IF59"")"),541)</f>
        <v>541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IFERROR(__xludf.DUMMYFUNCTION("IMPORTRANGE(""https://docs.google.com/spreadsheets/d/1QqKyyYR6Q21VydFLVH3TRQUabQu_ym0Zz7PgGX0-kHA/edit?usp=sharing"",""แผน!IH59"")"),131)</f>
        <v>131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IFERROR(__xludf.DUMMYFUNCTION("IMPORTRANGE(""https://docs.google.com/spreadsheets/d/1QqKyyYR6Q21VydFLVH3TRQUabQu_ym0Zz7PgGX0-kHA/edit?usp=sharing"",""แผน!II59"")"),312)</f>
        <v>312</v>
      </c>
      <c r="J720" s="270">
        <f ca="1">IFERROR(__xludf.DUMMYFUNCTION("IMPORTRANGE(""https://docs.google.com/spreadsheets/d/1XWAQStnk-4SwqDmLtmXYiTMKHgktTP8We1SCoS47DrQ/edit?usp=sharing"",""จัดที่ดิน!BH59"")"),0)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IFERROR(__xludf.DUMMYFUNCTION("IMPORTRANGE(""https://docs.google.com/spreadsheets/d/1QqKyyYR6Q21VydFLVH3TRQUabQu_ym0Zz7PgGX0-kHA/edit?usp=sharing"",""แผน!IJ59"")"),36)</f>
        <v>36</v>
      </c>
      <c r="J721" s="676">
        <f ca="1">J723+J726</f>
        <v>12</v>
      </c>
      <c r="K721" s="195">
        <f t="shared" ca="1" si="291"/>
        <v>33.333333333333336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IFERROR(__xludf.DUMMYFUNCTION("IMPORTRANGE(""https://docs.google.com/spreadsheets/d/1QqKyyYR6Q21VydFLVH3TRQUabQu_ym0Zz7PgGX0-kHA/edit?usp=sharing"",""แผน!IK59"")"),351)</f>
        <v>351</v>
      </c>
      <c r="J722" s="676">
        <f ca="1">J725+J728</f>
        <v>145.87</v>
      </c>
      <c r="K722" s="195">
        <f t="shared" ca="1" si="291"/>
        <v>41.558404558404561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IFERROR(__xludf.DUMMYFUNCTION("IMPORTRANGE(""https://docs.google.com/spreadsheets/d/1QqKyyYR6Q21VydFLVH3TRQUabQu_ym0Zz7PgGX0-kHA/edit?usp=sharing"",""แผน!IL59"")"),17)</f>
        <v>17</v>
      </c>
      <c r="J723" s="270">
        <f ca="1">IFERROR(__xludf.DUMMYFUNCTION("IMPORTRANGE(""https://docs.google.com/spreadsheets/d/1XWAQStnk-4SwqDmLtmXYiTMKHgktTP8We1SCoS47DrQ/edit?usp=sharing"",""จัดที่ดิน!BM59"")"),8)</f>
        <v>8</v>
      </c>
      <c r="K723" s="497">
        <f t="shared" ca="1" si="291"/>
        <v>47.058823529411768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IFERROR(__xludf.DUMMYFUNCTION("IMPORTRANGE(""https://docs.google.com/spreadsheets/d/1XWAQStnk-4SwqDmLtmXYiTMKHgktTP8We1SCoS47DrQ/edit?usp=sharing"",""จัดที่ดิน!BN59"")"),9)</f>
        <v>9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IFERROR(__xludf.DUMMYFUNCTION("IMPORTRANGE(""https://docs.google.com/spreadsheets/d/1QqKyyYR6Q21VydFLVH3TRQUabQu_ym0Zz7PgGX0-kHA/edit?usp=sharing"",""แผน!IM59"")"),220)</f>
        <v>220</v>
      </c>
      <c r="J725" s="270">
        <f ca="1">IFERROR(__xludf.DUMMYFUNCTION("IMPORTRANGE(""https://docs.google.com/spreadsheets/d/1XWAQStnk-4SwqDmLtmXYiTMKHgktTP8We1SCoS47DrQ/edit?usp=sharing"",""จัดที่ดิน!BO59"")"),118.5)</f>
        <v>118.5</v>
      </c>
      <c r="K725" s="497">
        <f t="shared" ref="K725:K726" ca="1" si="292">IF(I725&gt;0,J725*100/I725,0)</f>
        <v>53.863636363636367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IFERROR(__xludf.DUMMYFUNCTION("IMPORTRANGE(""https://docs.google.com/spreadsheets/d/1QqKyyYR6Q21VydFLVH3TRQUabQu_ym0Zz7PgGX0-kHA/edit?usp=sharing"",""แผน!IN59"")"),19)</f>
        <v>19</v>
      </c>
      <c r="J726" s="270">
        <f ca="1">IFERROR(__xludf.DUMMYFUNCTION("IMPORTRANGE(""https://docs.google.com/spreadsheets/d/1XWAQStnk-4SwqDmLtmXYiTMKHgktTP8We1SCoS47DrQ/edit?usp=sharing"",""จัดที่ดิน!BR59"")"),4)</f>
        <v>4</v>
      </c>
      <c r="K726" s="497">
        <f t="shared" ca="1" si="292"/>
        <v>21.05263157894737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IFERROR(__xludf.DUMMYFUNCTION("IMPORTRANGE(""https://docs.google.com/spreadsheets/d/1XWAQStnk-4SwqDmLtmXYiTMKHgktTP8We1SCoS47DrQ/edit?usp=sharing"",""จัดที่ดิน!BS59"")"),5)</f>
        <v>5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IFERROR(__xludf.DUMMYFUNCTION("IMPORTRANGE(""https://docs.google.com/spreadsheets/d/1QqKyyYR6Q21VydFLVH3TRQUabQu_ym0Zz7PgGX0-kHA/edit?usp=sharing"",""แผน!IO59"")"),131)</f>
        <v>131</v>
      </c>
      <c r="J728" s="270">
        <f ca="1">IFERROR(__xludf.DUMMYFUNCTION("IMPORTRANGE(""https://docs.google.com/spreadsheets/d/1XWAQStnk-4SwqDmLtmXYiTMKHgktTP8We1SCoS47DrQ/edit?usp=sharing"",""จัดที่ดิน!BT59"")"),27.37)</f>
        <v>27.37</v>
      </c>
      <c r="K728" s="497">
        <f t="shared" ref="K728:K729" ca="1" si="293">IF(I728&gt;0,J728*100/I728,0)</f>
        <v>20.893129770992367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IFERROR(__xludf.DUMMYFUNCTION("IMPORTRANGE(""https://docs.google.com/spreadsheets/d/1QqKyyYR6Q21VydFLVH3TRQUabQu_ym0Zz7PgGX0-kHA/edit?usp=sharing"",""แผน!IP59"")"),131)</f>
        <v>131</v>
      </c>
      <c r="J729" s="676">
        <f>J732+J735</f>
        <v>159.80000000000001</v>
      </c>
      <c r="K729" s="195">
        <f t="shared" ca="1" si="293"/>
        <v>121.9847328244275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6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6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100.7525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59.047499999999999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IFERROR(__xludf.DUMMYFUNCTION("IMPORTRANGE(""https://docs.google.com/spreadsheets/d/1QqKyyYR6Q21VydFLVH3TRQUabQu_ym0Zz7PgGX0-kHA/edit?usp=sharing"",""แผน!JN59"")"),0)</f>
        <v>0</v>
      </c>
      <c r="J800" s="184">
        <f ca="1">IFERROR(__xludf.DUMMYFUNCTION("IMPORTRANGE(""https://docs.google.com/spreadsheets/d/1MaWodYyGHDf7siQLGxnXhG4mBNTNIuy296niS2xXulU/edit?usp=sharing"",""RTK!H59"")"),0)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IFERROR(__xludf.DUMMYFUNCTION("IMPORTRANGE(""https://docs.google.com/spreadsheets/d/1MaWodYyGHDf7siQLGxnXhG4mBNTNIuy296niS2xXulU/edit?usp=sharing"",""RTK!I59"")"),0)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270">
        <f ca="1">IFERROR(__xludf.DUMMYFUNCTION("IMPORTRANGE(""https://docs.google.com/spreadsheets/d/19vJNZY_5yjcGF2XGBMNZRCAIB0Kwfpjp8YEOfu-bneM/edit?usp=sharing"",""งานกองทุน!F59"")"),2172186.01)</f>
        <v>2172186.0099999998</v>
      </c>
      <c r="K821" s="497">
        <f t="shared" ref="K821:K828" ca="1" si="335">IF(I821&gt;0,J821*100/I821,0)</f>
        <v>77.375057321031278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IFERROR(__xludf.DUMMYFUNCTION("IMPORTRANGE(""https://docs.google.com/spreadsheets/d/19vJNZY_5yjcGF2XGBMNZRCAIB0Kwfpjp8YEOfu-bneM/edit?usp=sharing"",""งานกองทุน!C59"")"),104)</f>
        <v>104</v>
      </c>
      <c r="J822" s="270">
        <f ca="1">IFERROR(__xludf.DUMMYFUNCTION("IMPORTRANGE(""https://docs.google.com/spreadsheets/d/19vJNZY_5yjcGF2XGBMNZRCAIB0Kwfpjp8YEOfu-bneM/edit?usp=sharing"",""งานกองทุน!E59"")"),78)</f>
        <v>78</v>
      </c>
      <c r="K822" s="497">
        <f t="shared" ca="1" si="335"/>
        <v>75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70">
        <f ca="1">IFERROR(__xludf.DUMMYFUNCTION("IMPORTRANGE(""https://docs.google.com/spreadsheets/d/19vJNZY_5yjcGF2XGBMNZRCAIB0Kwfpjp8YEOfu-bneM/edit?usp=sharing"",""งานกองทุน!K59"")"),243691)</f>
        <v>243691</v>
      </c>
      <c r="K823" s="497">
        <f t="shared" ca="1" si="335"/>
        <v>5.8516612716295242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IFERROR(__xludf.DUMMYFUNCTION("IMPORTRANGE(""https://docs.google.com/spreadsheets/d/19vJNZY_5yjcGF2XGBMNZRCAIB0Kwfpjp8YEOfu-bneM/edit?usp=sharing"",""งานกองทุน!H59"")"),123)</f>
        <v>123</v>
      </c>
      <c r="J824" s="270">
        <f ca="1">IFERROR(__xludf.DUMMYFUNCTION("IMPORTRANGE(""https://docs.google.com/spreadsheets/d/19vJNZY_5yjcGF2XGBMNZRCAIB0Kwfpjp8YEOfu-bneM/edit?usp=sharing"",""งานกองทุน!J59"")"),30)</f>
        <v>30</v>
      </c>
      <c r="K824" s="497">
        <f t="shared" ca="1" si="335"/>
        <v>24.390243902439025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70">
        <f ca="1">IFERROR(__xludf.DUMMYFUNCTION("IMPORTRANGE(""https://docs.google.com/spreadsheets/d/19vJNZY_5yjcGF2XGBMNZRCAIB0Kwfpjp8YEOfu-bneM/edit?usp=sharing"",""งานกองทุน!P59"")"),2362098.31)</f>
        <v>2362098.31</v>
      </c>
      <c r="K825" s="497">
        <f t="shared" ca="1" si="335"/>
        <v>45.534493982667541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IFERROR(__xludf.DUMMYFUNCTION("IMPORTRANGE(""https://docs.google.com/spreadsheets/d/19vJNZY_5yjcGF2XGBMNZRCAIB0Kwfpjp8YEOfu-bneM/edit?usp=sharing"",""งานกองทุน!M59"")"),1897)</f>
        <v>1897</v>
      </c>
      <c r="J826" s="270">
        <f ca="1">IFERROR(__xludf.DUMMYFUNCTION("IMPORTRANGE(""https://docs.google.com/spreadsheets/d/19vJNZY_5yjcGF2XGBMNZRCAIB0Kwfpjp8YEOfu-bneM/edit?usp=sharing"",""งานกองทุน!O59"")"),1204)</f>
        <v>1204</v>
      </c>
      <c r="K826" s="497">
        <f t="shared" ca="1" si="335"/>
        <v>63.46863468634686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IFERROR(__xludf.DUMMYFUNCTION("IMPORTRANGE(""https://docs.google.com/spreadsheets/d/19vJNZY_5yjcGF2XGBMNZRCAIB0Kwfpjp8YEOfu-bneM/edit?usp=sharing"",""งานกองทุน!S59"")"),2810000)</f>
        <v>2810000</v>
      </c>
      <c r="J827" s="270">
        <f ca="1">IFERROR(__xludf.DUMMYFUNCTION("IMPORTRANGE(""https://docs.google.com/spreadsheets/d/19vJNZY_5yjcGF2XGBMNZRCAIB0Kwfpjp8YEOfu-bneM/edit?usp=sharing"",""งานกองทุน!U59"")"),2405000)</f>
        <v>2405000</v>
      </c>
      <c r="K827" s="497">
        <f t="shared" ca="1" si="335"/>
        <v>85.587188612099638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IFERROR(__xludf.DUMMYFUNCTION("IMPORTRANGE(""https://docs.google.com/spreadsheets/d/19vJNZY_5yjcGF2XGBMNZRCAIB0Kwfpjp8YEOfu-bneM/edit?usp=sharing"",""งานกองทุน!R59"")"),111)</f>
        <v>111</v>
      </c>
      <c r="J828" s="501">
        <f ca="1">IFERROR(__xludf.DUMMYFUNCTION("IMPORTRANGE(""https://docs.google.com/spreadsheets/d/19vJNZY_5yjcGF2XGBMNZRCAIB0Kwfpjp8YEOfu-bneM/edit?usp=sharing"",""งานกองทุน!T59"")"),71)</f>
        <v>71</v>
      </c>
      <c r="K828" s="502">
        <f t="shared" ca="1" si="335"/>
        <v>63.963963963963963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1574-7DD0-4C97-846C-9378DC933B85}">
  <sheetPr codeName="Sheet9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2218395</v>
      </c>
      <c r="M8" s="22">
        <f t="shared" ca="1" si="0"/>
        <v>2332563.98</v>
      </c>
      <c r="N8" s="22">
        <f t="shared" ca="1" si="0"/>
        <v>1744161.9500000002</v>
      </c>
      <c r="O8" s="22">
        <f t="shared" ref="O8:O16" ca="1" si="1">IF(L8&gt;0,N8*100/L8,0)</f>
        <v>78.622695687648061</v>
      </c>
      <c r="P8" s="22">
        <f t="shared" ref="P8:P16" ca="1" si="2">IF(M8&gt;0,N8*100/M8,0)</f>
        <v>74.774452703329501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2218395</v>
      </c>
      <c r="M10" s="30">
        <f t="shared" ca="1" si="3"/>
        <v>2332563.98</v>
      </c>
      <c r="N10" s="30">
        <f t="shared" ca="1" si="3"/>
        <v>1744161.9500000002</v>
      </c>
      <c r="O10" s="30">
        <f t="shared" ca="1" si="1"/>
        <v>78.622695687648061</v>
      </c>
      <c r="P10" s="30">
        <f t="shared" ca="1" si="2"/>
        <v>74.774452703329501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2180595</v>
      </c>
      <c r="M11" s="497">
        <f t="shared" ca="1" si="4"/>
        <v>2294763.98</v>
      </c>
      <c r="N11" s="497">
        <f t="shared" ca="1" si="4"/>
        <v>1706361.9500000002</v>
      </c>
      <c r="O11" s="497">
        <f t="shared" ca="1" si="1"/>
        <v>78.252126139883856</v>
      </c>
      <c r="P11" s="497">
        <f t="shared" ca="1" si="2"/>
        <v>74.358930368080834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2180595</v>
      </c>
      <c r="M13" s="93">
        <f t="shared" ca="1" si="5"/>
        <v>2294763.98</v>
      </c>
      <c r="N13" s="93">
        <f t="shared" ca="1" si="5"/>
        <v>1706361.9500000002</v>
      </c>
      <c r="O13" s="93">
        <f t="shared" ca="1" si="1"/>
        <v>78.252126139883856</v>
      </c>
      <c r="P13" s="93">
        <f t="shared" ca="1" si="2"/>
        <v>74.358930368080834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37800</v>
      </c>
      <c r="M14" s="497">
        <f t="shared" ca="1" si="6"/>
        <v>37800</v>
      </c>
      <c r="N14" s="497">
        <f t="shared" ca="1" si="6"/>
        <v>37800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37800</v>
      </c>
      <c r="M16" s="52">
        <f t="shared" ca="1" si="7"/>
        <v>37800</v>
      </c>
      <c r="N16" s="52">
        <f t="shared" ca="1" si="7"/>
        <v>37800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2029255</v>
      </c>
      <c r="M18" s="22">
        <f t="shared" ca="1" si="8"/>
        <v>2143733.98</v>
      </c>
      <c r="N18" s="22">
        <f t="shared" ca="1" si="8"/>
        <v>1596817.9500000002</v>
      </c>
      <c r="O18" s="22">
        <f t="shared" ref="O18:O26" ca="1" si="9">IF(L18&gt;0,N18*100/L18,0)</f>
        <v>78.68986155017484</v>
      </c>
      <c r="P18" s="22">
        <f t="shared" ref="P18:P26" ca="1" si="10">IF(M18&gt;0,N18*100/M18,0)</f>
        <v>74.487691331925447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2029255</v>
      </c>
      <c r="M20" s="30">
        <f t="shared" ca="1" si="11"/>
        <v>2143733.98</v>
      </c>
      <c r="N20" s="30">
        <f t="shared" ca="1" si="11"/>
        <v>1596817.9500000002</v>
      </c>
      <c r="O20" s="30">
        <f t="shared" ca="1" si="9"/>
        <v>78.68986155017484</v>
      </c>
      <c r="P20" s="30">
        <f t="shared" ca="1" si="10"/>
        <v>74.487691331925447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1991455</v>
      </c>
      <c r="M21" s="497">
        <f t="shared" ca="1" si="12"/>
        <v>2105933.98</v>
      </c>
      <c r="N21" s="497">
        <f t="shared" ca="1" si="12"/>
        <v>1559017.9500000002</v>
      </c>
      <c r="O21" s="497">
        <f t="shared" ca="1" si="9"/>
        <v>78.285371750805325</v>
      </c>
      <c r="P21" s="497">
        <f t="shared" ca="1" si="10"/>
        <v>74.029763744065718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1991455</v>
      </c>
      <c r="M23" s="93">
        <f t="shared" ca="1" si="13"/>
        <v>2105933.98</v>
      </c>
      <c r="N23" s="93">
        <f t="shared" ca="1" si="13"/>
        <v>1559017.9500000002</v>
      </c>
      <c r="O23" s="93">
        <f t="shared" ca="1" si="9"/>
        <v>78.285371750805325</v>
      </c>
      <c r="P23" s="93">
        <f t="shared" ca="1" si="10"/>
        <v>74.029763744065718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37800</v>
      </c>
      <c r="M24" s="497">
        <f t="shared" ca="1" si="14"/>
        <v>37800</v>
      </c>
      <c r="N24" s="497">
        <f t="shared" ca="1" si="14"/>
        <v>37800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37800</v>
      </c>
      <c r="M26" s="52">
        <f t="shared" ca="1" si="15"/>
        <v>37800</v>
      </c>
      <c r="N26" s="52">
        <f t="shared" ca="1" si="15"/>
        <v>37800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189140</v>
      </c>
      <c r="M28" s="22">
        <f t="shared" ca="1" si="16"/>
        <v>188830</v>
      </c>
      <c r="N28" s="22">
        <f t="shared" si="16"/>
        <v>147344</v>
      </c>
      <c r="O28" s="22">
        <f t="shared" ref="O28:O37" ca="1" si="17">IF(L28&gt;0,N28*100/L28,0)</f>
        <v>77.902083113037961</v>
      </c>
      <c r="P28" s="22">
        <f t="shared" ref="P28:P37" ca="1" si="18">IF(M28&gt;0,N28*100/M28,0)</f>
        <v>78.029974050733458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189140</v>
      </c>
      <c r="M30" s="30">
        <f t="shared" ca="1" si="19"/>
        <v>188830</v>
      </c>
      <c r="N30" s="30">
        <f t="shared" si="19"/>
        <v>147344</v>
      </c>
      <c r="O30" s="30">
        <f t="shared" ca="1" si="17"/>
        <v>77.902083113037961</v>
      </c>
      <c r="P30" s="30">
        <f t="shared" ca="1" si="18"/>
        <v>78.029974050733458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189140</v>
      </c>
      <c r="M31" s="497">
        <f t="shared" ca="1" si="20"/>
        <v>188830</v>
      </c>
      <c r="N31" s="497">
        <f t="shared" si="20"/>
        <v>147344</v>
      </c>
      <c r="O31" s="497">
        <f t="shared" ca="1" si="17"/>
        <v>77.902083113037961</v>
      </c>
      <c r="P31" s="497">
        <f t="shared" ca="1" si="18"/>
        <v>78.029974050733458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189140</v>
      </c>
      <c r="M33" s="93">
        <f t="shared" ca="1" si="21"/>
        <v>188830</v>
      </c>
      <c r="N33" s="93">
        <f t="shared" si="21"/>
        <v>147344</v>
      </c>
      <c r="O33" s="93">
        <f t="shared" ca="1" si="17"/>
        <v>77.902083113037961</v>
      </c>
      <c r="P33" s="93">
        <f t="shared" ca="1" si="18"/>
        <v>78.029974050733458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2029255</v>
      </c>
      <c r="M37" s="59">
        <f t="shared" ca="1" si="24"/>
        <v>2143733.98</v>
      </c>
      <c r="N37" s="59">
        <f t="shared" ca="1" si="24"/>
        <v>1596817.9500000002</v>
      </c>
      <c r="O37" s="59">
        <f t="shared" ca="1" si="17"/>
        <v>78.68986155017484</v>
      </c>
      <c r="P37" s="59">
        <f t="shared" ca="1" si="18"/>
        <v>74.487691331925447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293400</v>
      </c>
      <c r="M41" s="85">
        <f t="shared" ca="1" si="25"/>
        <v>329938.98</v>
      </c>
      <c r="N41" s="85">
        <f t="shared" ca="1" si="25"/>
        <v>257022.44</v>
      </c>
      <c r="O41" s="85">
        <f t="shared" ref="O41:O49" ca="1" si="26">IF(L41&gt;0,N41*100/L41,0)</f>
        <v>87.601376959781874</v>
      </c>
      <c r="P41" s="85">
        <f t="shared" ref="P41:P49" ca="1" si="27">IF(M41&gt;0,N41*100/M41,0)</f>
        <v>77.899992295545076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293400</v>
      </c>
      <c r="M43" s="92">
        <f t="shared" ca="1" si="28"/>
        <v>329938.98</v>
      </c>
      <c r="N43" s="92">
        <f t="shared" ca="1" si="28"/>
        <v>257022.44</v>
      </c>
      <c r="O43" s="92">
        <f t="shared" ca="1" si="26"/>
        <v>87.601376959781874</v>
      </c>
      <c r="P43" s="92">
        <f t="shared" ca="1" si="27"/>
        <v>77.899992295545076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293400</v>
      </c>
      <c r="M44" s="497">
        <f t="shared" ca="1" si="29"/>
        <v>329938.98</v>
      </c>
      <c r="N44" s="497">
        <f t="shared" ca="1" si="29"/>
        <v>257022.44</v>
      </c>
      <c r="O44" s="497">
        <f t="shared" ca="1" si="26"/>
        <v>87.601376959781874</v>
      </c>
      <c r="P44" s="497">
        <f t="shared" ca="1" si="27"/>
        <v>77.899992295545076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IFERROR(__xludf.DUMMYFUNCTION("IMPORTRANGE(""https://docs.google.com/spreadsheets/d/1MeEWN-I1oV_STSDYn1IFDPWt_1FKiwhDph83XaGc0o0/edit?usp=sharing"",""งบพรบ!M60"")"),293400)</f>
        <v>293400</v>
      </c>
      <c r="M46" s="93">
        <f ca="1">IFERROR(__xludf.DUMMYFUNCTION("IMPORTRANGE(""https://docs.google.com/spreadsheets/d/1MeEWN-I1oV_STSDYn1IFDPWt_1FKiwhDph83XaGc0o0/edit?usp=sharing"",""งบพรบ!R60"")"),329938.98)</f>
        <v>329938.98</v>
      </c>
      <c r="N46" s="93">
        <f ca="1">IFERROR(__xludf.DUMMYFUNCTION("IMPORTRANGE(""https://docs.google.com/spreadsheets/d/1MeEWN-I1oV_STSDYn1IFDPWt_1FKiwhDph83XaGc0o0/edit?usp=sharing"",""งบพรบ!T60"")"),257022.44)</f>
        <v>257022.44</v>
      </c>
      <c r="O46" s="93">
        <f t="shared" ca="1" si="26"/>
        <v>87.601376959781874</v>
      </c>
      <c r="P46" s="93">
        <f t="shared" ca="1" si="27"/>
        <v>77.899992295545076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IFERROR(__xludf.DUMMYFUNCTION("IMPORTRANGE(""https://docs.google.com/spreadsheets/d/1MeEWN-I1oV_STSDYn1IFDPWt_1FKiwhDph83XaGc0o0/edit?usp=sharing"",""งบพรบ!P60"")"),0)</f>
        <v>0</v>
      </c>
      <c r="M49" s="52">
        <f ca="1">IFERROR(__xludf.DUMMYFUNCTION("IMPORTRANGE(""https://docs.google.com/spreadsheets/d/1MeEWN-I1oV_STSDYn1IFDPWt_1FKiwhDph83XaGc0o0/edit?usp=sharing"",""งบพรบ!S60"")"),0)</f>
        <v>0</v>
      </c>
      <c r="N49" s="52">
        <f ca="1">IFERROR(__xludf.DUMMYFUNCTION("IMPORTRANGE(""https://docs.google.com/spreadsheets/d/1MeEWN-I1oV_STSDYn1IFDPWt_1FKiwhDph83XaGc0o0/edit?usp=sharing"",""งบพรบ!U60"")"),0)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566800</v>
      </c>
      <c r="M53" s="116">
        <f t="shared" ca="1" si="31"/>
        <v>626320</v>
      </c>
      <c r="N53" s="116">
        <f t="shared" ca="1" si="31"/>
        <v>505411.63</v>
      </c>
      <c r="O53" s="116">
        <f t="shared" ref="O53:O61" ca="1" si="32">IF(L53&gt;0,N53*100/L53,0)</f>
        <v>89.169306633733243</v>
      </c>
      <c r="P53" s="116">
        <f t="shared" ref="P53:P61" ca="1" si="33">IF(M53&gt;0,N53*100/M53,0)</f>
        <v>80.695432047515652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566800</v>
      </c>
      <c r="M55" s="123">
        <f t="shared" ca="1" si="34"/>
        <v>626320</v>
      </c>
      <c r="N55" s="123">
        <f t="shared" ca="1" si="34"/>
        <v>505411.63</v>
      </c>
      <c r="O55" s="123">
        <f t="shared" ca="1" si="32"/>
        <v>89.169306633733243</v>
      </c>
      <c r="P55" s="123">
        <f t="shared" ca="1" si="33"/>
        <v>80.695432047515652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566800</v>
      </c>
      <c r="M56" s="497">
        <f t="shared" ca="1" si="35"/>
        <v>626320</v>
      </c>
      <c r="N56" s="497">
        <f t="shared" ca="1" si="35"/>
        <v>505411.63</v>
      </c>
      <c r="O56" s="497">
        <f t="shared" ca="1" si="32"/>
        <v>89.169306633733243</v>
      </c>
      <c r="P56" s="497">
        <f t="shared" ca="1" si="33"/>
        <v>80.695432047515652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IFERROR(__xludf.DUMMYFUNCTION("IMPORTRANGE(""https://docs.google.com/spreadsheets/d/1MeEWN-I1oV_STSDYn1IFDPWt_1FKiwhDph83XaGc0o0/edit?usp=sharing"",""งบพรบ!W60"")"),566800)</f>
        <v>566800</v>
      </c>
      <c r="M58" s="93">
        <f ca="1">IFERROR(__xludf.DUMMYFUNCTION("IMPORTRANGE(""https://docs.google.com/spreadsheets/d/1MeEWN-I1oV_STSDYn1IFDPWt_1FKiwhDph83XaGc0o0/edit?usp=sharing"",""งบพรบ!AB60"")"),626320)</f>
        <v>626320</v>
      </c>
      <c r="N58" s="93">
        <f ca="1">IFERROR(__xludf.DUMMYFUNCTION("IMPORTRANGE(""https://docs.google.com/spreadsheets/d/1MeEWN-I1oV_STSDYn1IFDPWt_1FKiwhDph83XaGc0o0/edit?usp=sharing"",""งบพรบ!AD60"")"),505411.63)</f>
        <v>505411.63</v>
      </c>
      <c r="O58" s="93">
        <f t="shared" ca="1" si="32"/>
        <v>89.169306633733243</v>
      </c>
      <c r="P58" s="93">
        <f t="shared" ca="1" si="33"/>
        <v>80.695432047515652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IFERROR(__xludf.DUMMYFUNCTION("IMPORTRANGE(""https://docs.google.com/spreadsheets/d/1MeEWN-I1oV_STSDYn1IFDPWt_1FKiwhDph83XaGc0o0/edit?usp=sharing"",""งบพรบ!Z60"")"),0)</f>
        <v>0</v>
      </c>
      <c r="M61" s="52">
        <f ca="1">IFERROR(__xludf.DUMMYFUNCTION("IMPORTRANGE(""https://docs.google.com/spreadsheets/d/1MeEWN-I1oV_STSDYn1IFDPWt_1FKiwhDph83XaGc0o0/edit?usp=sharing"",""งบพรบ!AC60"")"),0)</f>
        <v>0</v>
      </c>
      <c r="N61" s="52">
        <f ca="1">IFERROR(__xludf.DUMMYFUNCTION("IMPORTRANGE(""https://docs.google.com/spreadsheets/d/1MeEWN-I1oV_STSDYn1IFDPWt_1FKiwhDph83XaGc0o0/edit?usp=sharing"",""งบพรบ!AE60"")"),0)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IFERROR(__xludf.DUMMYFUNCTION("IMPORTRANGE(""https://docs.google.com/spreadsheets/d/1MeEWN-I1oV_STSDYn1IFDPWt_1FKiwhDph83XaGc0o0/edit?usp=sharing"",""งบพรบ!AG60"")"),0)</f>
        <v>0</v>
      </c>
      <c r="M71" s="93">
        <f ca="1">IFERROR(__xludf.DUMMYFUNCTION("IMPORTRANGE(""https://docs.google.com/spreadsheets/d/1MeEWN-I1oV_STSDYn1IFDPWt_1FKiwhDph83XaGc0o0/edit?usp=sharing"",""งบพรบ!AL60"")"),0)</f>
        <v>0</v>
      </c>
      <c r="N71" s="93">
        <f ca="1">IFERROR(__xludf.DUMMYFUNCTION("IMPORTRANGE(""https://docs.google.com/spreadsheets/d/1MeEWN-I1oV_STSDYn1IFDPWt_1FKiwhDph83XaGc0o0/edit?usp=sharing"",""งบพรบ!AN60"")"),0)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IFERROR(__xludf.DUMMYFUNCTION("IMPORTRANGE(""https://docs.google.com/spreadsheets/d/1MeEWN-I1oV_STSDYn1IFDPWt_1FKiwhDph83XaGc0o0/edit?usp=sharing"",""งบพรบ!AJ60"")"),0)</f>
        <v>0</v>
      </c>
      <c r="M74" s="93">
        <f ca="1">IFERROR(__xludf.DUMMYFUNCTION("IMPORTRANGE(""https://docs.google.com/spreadsheets/d/1MeEWN-I1oV_STSDYn1IFDPWt_1FKiwhDph83XaGc0o0/edit?usp=sharing"",""งบพรบ!AM60"")"),0)</f>
        <v>0</v>
      </c>
      <c r="N74" s="93">
        <f ca="1">IFERROR(__xludf.DUMMYFUNCTION("IMPORTRANGE(""https://docs.google.com/spreadsheets/d/1MeEWN-I1oV_STSDYn1IFDPWt_1FKiwhDph83XaGc0o0/edit?usp=sharing"",""งบพรบ!AO60"")"),0)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199040</v>
      </c>
      <c r="M88" s="155">
        <f t="shared" ca="1" si="49"/>
        <v>199040</v>
      </c>
      <c r="N88" s="155">
        <f t="shared" ca="1" si="49"/>
        <v>129440</v>
      </c>
      <c r="O88" s="155">
        <f t="shared" ref="O88:O96" ca="1" si="50">IF(L88&gt;0,N88*100/L88,0)</f>
        <v>65.032154340836016</v>
      </c>
      <c r="P88" s="155">
        <f t="shared" ref="P88:P96" ca="1" si="51">IF(M88&gt;0,N88*100/M88,0)</f>
        <v>65.032154340836016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199040</v>
      </c>
      <c r="M90" s="93">
        <f t="shared" ca="1" si="52"/>
        <v>199040</v>
      </c>
      <c r="N90" s="93">
        <f t="shared" ca="1" si="52"/>
        <v>129440</v>
      </c>
      <c r="O90" s="93">
        <f t="shared" ca="1" si="50"/>
        <v>65.032154340836016</v>
      </c>
      <c r="P90" s="93">
        <f t="shared" ca="1" si="51"/>
        <v>65.032154340836016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199040</v>
      </c>
      <c r="M91" s="497">
        <f t="shared" ca="1" si="53"/>
        <v>199040</v>
      </c>
      <c r="N91" s="497">
        <f t="shared" ca="1" si="53"/>
        <v>129440</v>
      </c>
      <c r="O91" s="497">
        <f t="shared" ca="1" si="50"/>
        <v>65.032154340836016</v>
      </c>
      <c r="P91" s="497">
        <f t="shared" ca="1" si="51"/>
        <v>65.032154340836016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IFERROR(__xludf.DUMMYFUNCTION("IMPORTRANGE(""https://docs.google.com/spreadsheets/d/1MeEWN-I1oV_STSDYn1IFDPWt_1FKiwhDph83XaGc0o0/edit?usp=sharing"",""งบพรบ!AQ60"")"),199040)</f>
        <v>199040</v>
      </c>
      <c r="M93" s="93">
        <f ca="1">IFERROR(__xludf.DUMMYFUNCTION("IMPORTRANGE(""https://docs.google.com/spreadsheets/d/1MeEWN-I1oV_STSDYn1IFDPWt_1FKiwhDph83XaGc0o0/edit?usp=sharing"",""งบพรบ!AV60"")"),199040)</f>
        <v>199040</v>
      </c>
      <c r="N93" s="93">
        <f ca="1">IFERROR(__xludf.DUMMYFUNCTION("IMPORTRANGE(""https://docs.google.com/spreadsheets/d/1MeEWN-I1oV_STSDYn1IFDPWt_1FKiwhDph83XaGc0o0/edit?usp=sharing"",""งบพรบ!AX60"")"),129440)</f>
        <v>129440</v>
      </c>
      <c r="O93" s="93">
        <f t="shared" ca="1" si="50"/>
        <v>65.032154340836016</v>
      </c>
      <c r="P93" s="93">
        <f t="shared" ca="1" si="51"/>
        <v>65.032154340836016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IFERROR(__xludf.DUMMYFUNCTION("IMPORTRANGE(""https://docs.google.com/spreadsheets/d/1MeEWN-I1oV_STSDYn1IFDPWt_1FKiwhDph83XaGc0o0/edit?usp=sharing"",""งบพรบ!AT60"")"),0)</f>
        <v>0</v>
      </c>
      <c r="M96" s="93">
        <f ca="1">IFERROR(__xludf.DUMMYFUNCTION("IMPORTRANGE(""https://docs.google.com/spreadsheets/d/1MeEWN-I1oV_STSDYn1IFDPWt_1FKiwhDph83XaGc0o0/edit?usp=sharing"",""งบพรบ!AW60"")"),0)</f>
        <v>0</v>
      </c>
      <c r="N96" s="93">
        <f ca="1">IFERROR(__xludf.DUMMYFUNCTION("IMPORTRANGE(""https://docs.google.com/spreadsheets/d/1MeEWN-I1oV_STSDYn1IFDPWt_1FKiwhDph83XaGc0o0/edit?usp=sharing"",""งบพรบ!AY60"")"),0)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IFERROR(__xludf.DUMMYFUNCTION("IMPORTRANGE(""https://docs.google.com/spreadsheets/d/1QqKyyYR6Q21VydFLVH3TRQUabQu_ym0Zz7PgGX0-kHA/edit?usp=sharing"",""แผน!M60"")"),1)</f>
        <v>1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IFERROR(__xludf.DUMMYFUNCTION("IMPORTRANGE(""https://docs.google.com/spreadsheets/d/1QqKyyYR6Q21VydFLVH3TRQUabQu_ym0Zz7PgGX0-kHA/edit?usp=sharing"",""แผน!Q60"")"),1)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IFERROR(__xludf.DUMMYFUNCTION("IMPORTRANGE(""https://docs.google.com/spreadsheets/d/1QqKyyYR6Q21VydFLVH3TRQUabQu_ym0Zz7PgGX0-kHA/edit?usp=sharing"",""แผน!Q60"")"),1)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IFERROR(__xludf.DUMMYFUNCTION("IMPORTRANGE(""https://docs.google.com/spreadsheets/d/1QqKyyYR6Q21VydFLVH3TRQUabQu_ym0Zz7PgGX0-kHA/edit?usp=sharing"",""แผน!R60"")"),10)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IFERROR(__xludf.DUMMYFUNCTION("IMPORTRANGE(""https://docs.google.com/spreadsheets/d/1MeEWN-I1oV_STSDYn1IFDPWt_1FKiwhDph83XaGc0o0/edit?usp=sharing"",""งบพรบ!BA60"")"),0)</f>
        <v>0</v>
      </c>
      <c r="M124" s="93">
        <f ca="1">IFERROR(__xludf.DUMMYFUNCTION("IMPORTRANGE(""https://docs.google.com/spreadsheets/d/1MeEWN-I1oV_STSDYn1IFDPWt_1FKiwhDph83XaGc0o0/edit?usp=sharing"",""งบพรบ!BF60"")"),0)</f>
        <v>0</v>
      </c>
      <c r="N124" s="93">
        <f ca="1">IFERROR(__xludf.DUMMYFUNCTION("IMPORTRANGE(""https://docs.google.com/spreadsheets/d/1MeEWN-I1oV_STSDYn1IFDPWt_1FKiwhDph83XaGc0o0/edit?usp=sharing"",""งบพรบ!BH60"")"),0)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IFERROR(__xludf.DUMMYFUNCTION("IMPORTRANGE(""https://docs.google.com/spreadsheets/d/1MeEWN-I1oV_STSDYn1IFDPWt_1FKiwhDph83XaGc0o0/edit?usp=sharing"",""งบพรบ!BD60"")"),0)</f>
        <v>0</v>
      </c>
      <c r="M127" s="93">
        <f ca="1">IFERROR(__xludf.DUMMYFUNCTION("IMPORTRANGE(""https://docs.google.com/spreadsheets/d/1MeEWN-I1oV_STSDYn1IFDPWt_1FKiwhDph83XaGc0o0/edit?usp=sharing"",""งบพรบ!BG60"")"),0)</f>
        <v>0</v>
      </c>
      <c r="N127" s="93">
        <f ca="1">IFERROR(__xludf.DUMMYFUNCTION("IMPORTRANGE(""https://docs.google.com/spreadsheets/d/1MeEWN-I1oV_STSDYn1IFDPWt_1FKiwhDph83XaGc0o0/edit?usp=sharing"",""งบพรบ!BI60"")"),0)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IFERROR(__xludf.DUMMYFUNCTION("IMPORTRANGE(""https://docs.google.com/spreadsheets/d/1MeEWN-I1oV_STSDYn1IFDPWt_1FKiwhDph83XaGc0o0/edit?usp=sharing"",""งบพรบ!BK60"")"),0)</f>
        <v>0</v>
      </c>
      <c r="M137" s="93">
        <f ca="1">IFERROR(__xludf.DUMMYFUNCTION("IMPORTRANGE(""https://docs.google.com/spreadsheets/d/1MeEWN-I1oV_STSDYn1IFDPWt_1FKiwhDph83XaGc0o0/edit?usp=sharing"",""งบพรบ!BP60"")"),0)</f>
        <v>0</v>
      </c>
      <c r="N137" s="93">
        <f ca="1">IFERROR(__xludf.DUMMYFUNCTION("IMPORTRANGE(""https://docs.google.com/spreadsheets/d/1MeEWN-I1oV_STSDYn1IFDPWt_1FKiwhDph83XaGc0o0/edit?usp=sharing"",""งบพรบ!BR60"")"),0)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IFERROR(__xludf.DUMMYFUNCTION("IMPORTRANGE(""https://docs.google.com/spreadsheets/d/1MeEWN-I1oV_STSDYn1IFDPWt_1FKiwhDph83XaGc0o0/edit?usp=sharing"",""งบพรบ!BN60"")"),0)</f>
        <v>0</v>
      </c>
      <c r="M140" s="93">
        <f ca="1">IFERROR(__xludf.DUMMYFUNCTION("IMPORTRANGE(""https://docs.google.com/spreadsheets/d/1MeEWN-I1oV_STSDYn1IFDPWt_1FKiwhDph83XaGc0o0/edit?usp=sharing"",""งบพรบ!BQ60"")"),0)</f>
        <v>0</v>
      </c>
      <c r="N140" s="93">
        <f ca="1">IFERROR(__xludf.DUMMYFUNCTION("IMPORTRANGE(""https://docs.google.com/spreadsheets/d/1MeEWN-I1oV_STSDYn1IFDPWt_1FKiwhDph83XaGc0o0/edit?usp=sharing"",""งบพรบ!BS60"")"),0)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IFERROR(__xludf.DUMMYFUNCTION("IMPORTRANGE(""https://docs.google.com/spreadsheets/d/1MeEWN-I1oV_STSDYn1IFDPWt_1FKiwhDph83XaGc0o0/edit?usp=sharing"",""งบพรบ!BU60"")"),0)</f>
        <v>0</v>
      </c>
      <c r="M154" s="93">
        <f ca="1">IFERROR(__xludf.DUMMYFUNCTION("IMPORTRANGE(""https://docs.google.com/spreadsheets/d/1MeEWN-I1oV_STSDYn1IFDPWt_1FKiwhDph83XaGc0o0/edit?usp=sharing"",""งบพรบ!BZ60"")"),0)</f>
        <v>0</v>
      </c>
      <c r="N154" s="93">
        <f ca="1">IFERROR(__xludf.DUMMYFUNCTION("IMPORTRANGE(""https://docs.google.com/spreadsheets/d/1MeEWN-I1oV_STSDYn1IFDPWt_1FKiwhDph83XaGc0o0/edit?usp=sharing"",""งบพรบ!CB60"")"),0)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IFERROR(__xludf.DUMMYFUNCTION("IMPORTRANGE(""https://docs.google.com/spreadsheets/d/1MeEWN-I1oV_STSDYn1IFDPWt_1FKiwhDph83XaGc0o0/edit?usp=sharing"",""งบพรบ!BX60"")"),0)</f>
        <v>0</v>
      </c>
      <c r="M157" s="93">
        <f ca="1">IFERROR(__xludf.DUMMYFUNCTION("IMPORTRANGE(""https://docs.google.com/spreadsheets/d/1MeEWN-I1oV_STSDYn1IFDPWt_1FKiwhDph83XaGc0o0/edit?usp=sharing"",""งบพรบ!CA60"")"),0)</f>
        <v>0</v>
      </c>
      <c r="N157" s="93">
        <f ca="1">IFERROR(__xludf.DUMMYFUNCTION("IMPORTRANGE(""https://docs.google.com/spreadsheets/d/1MeEWN-I1oV_STSDYn1IFDPWt_1FKiwhDph83XaGc0o0/edit?usp=sharing"",""งบพรบ!CC60"")"),0)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31755</v>
      </c>
      <c r="N165" s="155">
        <f t="shared" ca="1" si="84"/>
        <v>31755</v>
      </c>
      <c r="O165" s="155">
        <f t="shared" ref="O165:O173" ca="1" si="85">IF(L165&gt;0,N165*100/L165,0)</f>
        <v>143.9809566991612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31755</v>
      </c>
      <c r="N167" s="93">
        <f t="shared" ca="1" si="87"/>
        <v>31755</v>
      </c>
      <c r="O167" s="93">
        <f t="shared" ca="1" si="85"/>
        <v>143.9809566991612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31755</v>
      </c>
      <c r="N168" s="497">
        <f t="shared" ca="1" si="88"/>
        <v>31755</v>
      </c>
      <c r="O168" s="497">
        <f t="shared" ca="1" si="85"/>
        <v>143.9809566991612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IFERROR(__xludf.DUMMYFUNCTION("IMPORTRANGE(""https://docs.google.com/spreadsheets/d/1MeEWN-I1oV_STSDYn1IFDPWt_1FKiwhDph83XaGc0o0/edit?usp=sharing"",""งบพรบ!CE60"")"),22055)</f>
        <v>22055</v>
      </c>
      <c r="M170" s="93">
        <f ca="1">IFERROR(__xludf.DUMMYFUNCTION("IMPORTRANGE(""https://docs.google.com/spreadsheets/d/1MeEWN-I1oV_STSDYn1IFDPWt_1FKiwhDph83XaGc0o0/edit?usp=sharing"",""งบพรบ!CJ60"")"),31755)</f>
        <v>31755</v>
      </c>
      <c r="N170" s="93">
        <f ca="1">IFERROR(__xludf.DUMMYFUNCTION("IMPORTRANGE(""https://docs.google.com/spreadsheets/d/1MeEWN-I1oV_STSDYn1IFDPWt_1FKiwhDph83XaGc0o0/edit?usp=sharing"",""งบพรบ!CL60"")"),31755)</f>
        <v>31755</v>
      </c>
      <c r="O170" s="93">
        <f t="shared" ca="1" si="85"/>
        <v>143.9809566991612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IFERROR(__xludf.DUMMYFUNCTION("IMPORTRANGE(""https://docs.google.com/spreadsheets/d/1MeEWN-I1oV_STSDYn1IFDPWt_1FKiwhDph83XaGc0o0/edit?usp=sharing"",""งบพรบ!CH60"")"),0)</f>
        <v>0</v>
      </c>
      <c r="M173" s="93">
        <f ca="1">IFERROR(__xludf.DUMMYFUNCTION("IMPORTRANGE(""https://docs.google.com/spreadsheets/d/1MeEWN-I1oV_STSDYn1IFDPWt_1FKiwhDph83XaGc0o0/edit?usp=sharing"",""งบพรบ!CK60"")"),0)</f>
        <v>0</v>
      </c>
      <c r="N173" s="93">
        <f ca="1">IFERROR(__xludf.DUMMYFUNCTION("IMPORTRANGE(""https://docs.google.com/spreadsheets/d/1MeEWN-I1oV_STSDYn1IFDPWt_1FKiwhDph83XaGc0o0/edit?usp=sharing"",""งบพรบ!CM60"")"),0)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15</v>
      </c>
      <c r="J180" s="253">
        <f t="shared" si="91"/>
        <v>15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449450</v>
      </c>
      <c r="M181" s="155">
        <f t="shared" ca="1" si="92"/>
        <v>455670</v>
      </c>
      <c r="N181" s="155">
        <f t="shared" ca="1" si="92"/>
        <v>304593.88</v>
      </c>
      <c r="O181" s="155">
        <f t="shared" ref="O181:O189" ca="1" si="93">IF(L181&gt;0,N181*100/L181,0)</f>
        <v>67.770359328067642</v>
      </c>
      <c r="P181" s="155">
        <f t="shared" ref="P181:P189" ca="1" si="94">IF(M181&gt;0,N181*100/M181,0)</f>
        <v>66.8452783812847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449450</v>
      </c>
      <c r="M183" s="93">
        <f t="shared" ca="1" si="95"/>
        <v>455670</v>
      </c>
      <c r="N183" s="93">
        <f t="shared" ca="1" si="95"/>
        <v>304593.88</v>
      </c>
      <c r="O183" s="93">
        <f t="shared" ca="1" si="93"/>
        <v>67.770359328067642</v>
      </c>
      <c r="P183" s="93">
        <f t="shared" ca="1" si="94"/>
        <v>66.8452783812847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449450</v>
      </c>
      <c r="M184" s="497">
        <f t="shared" ca="1" si="96"/>
        <v>455670</v>
      </c>
      <c r="N184" s="497">
        <f t="shared" ca="1" si="96"/>
        <v>304593.88</v>
      </c>
      <c r="O184" s="497">
        <f t="shared" ca="1" si="93"/>
        <v>67.770359328067642</v>
      </c>
      <c r="P184" s="497">
        <f t="shared" ca="1" si="94"/>
        <v>66.8452783812847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IFERROR(__xludf.DUMMYFUNCTION("IMPORTRANGE(""https://docs.google.com/spreadsheets/d/1MeEWN-I1oV_STSDYn1IFDPWt_1FKiwhDph83XaGc0o0/edit?usp=sharing"",""งบพรบ!CO60"")"),449450)</f>
        <v>449450</v>
      </c>
      <c r="M186" s="93">
        <f ca="1">IFERROR(__xludf.DUMMYFUNCTION("IMPORTRANGE(""https://docs.google.com/spreadsheets/d/1MeEWN-I1oV_STSDYn1IFDPWt_1FKiwhDph83XaGc0o0/edit?usp=sharing"",""งบพรบ!CT60"")"),455670)</f>
        <v>455670</v>
      </c>
      <c r="N186" s="93">
        <f ca="1">IFERROR(__xludf.DUMMYFUNCTION("IMPORTRANGE(""https://docs.google.com/spreadsheets/d/1MeEWN-I1oV_STSDYn1IFDPWt_1FKiwhDph83XaGc0o0/edit?usp=sharing"",""งบพรบ!CV60"")"),304593.88)</f>
        <v>304593.88</v>
      </c>
      <c r="O186" s="93">
        <f t="shared" ca="1" si="93"/>
        <v>67.770359328067642</v>
      </c>
      <c r="P186" s="93">
        <f t="shared" ca="1" si="94"/>
        <v>66.8452783812847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IFERROR(__xludf.DUMMYFUNCTION("IMPORTRANGE(""https://docs.google.com/spreadsheets/d/1MeEWN-I1oV_STSDYn1IFDPWt_1FKiwhDph83XaGc0o0/edit?usp=sharing"",""งบพรบ!CR60"")"),0)</f>
        <v>0</v>
      </c>
      <c r="M189" s="93">
        <f ca="1">IFERROR(__xludf.DUMMYFUNCTION("IMPORTRANGE(""https://docs.google.com/spreadsheets/d/1MeEWN-I1oV_STSDYn1IFDPWt_1FKiwhDph83XaGc0o0/edit?usp=sharing"",""งบพรบ!CU60"")"),0)</f>
        <v>0</v>
      </c>
      <c r="N189" s="93">
        <f ca="1">IFERROR(__xludf.DUMMYFUNCTION("IMPORTRANGE(""https://docs.google.com/spreadsheets/d/1MeEWN-I1oV_STSDYn1IFDPWt_1FKiwhDph83XaGc0o0/edit?usp=sharing"",""งบพรบ!CW60"")"),0)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IFERROR(__xludf.DUMMYFUNCTION("IMPORTRANGE(""https://docs.google.com/spreadsheets/d/1QqKyyYR6Q21VydFLVH3TRQUabQu_ym0Zz7PgGX0-kHA/edit?usp=sharing"",""แผน!Z60"")"),6000)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IFERROR(__xludf.DUMMYFUNCTION("IMPORTRANGE(""https://docs.google.com/spreadsheets/d/1QqKyyYR6Q21VydFLVH3TRQUabQu_ym0Zz7PgGX0-kHA/edit?usp=sharing"",""แผน!AE60"")"),0)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IFERROR(__xludf.DUMMYFUNCTION("IMPORTRANGE(""https://docs.google.com/spreadsheets/d/1QqKyyYR6Q21VydFLVH3TRQUabQu_ym0Zz7PgGX0-kHA/edit?usp=sharing"",""แผน!AF60"")"),0)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IFERROR(__xludf.DUMMYFUNCTION("IMPORTRANGE(""https://docs.google.com/spreadsheets/d/1QqKyyYR6Q21VydFLVH3TRQUabQu_ym0Zz7PgGX0-kHA/edit?usp=sharing"",""แผน!AG60"")"),0)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IFERROR(__xludf.DUMMYFUNCTION("IMPORTRANGE(""https://docs.google.com/spreadsheets/d/1QqKyyYR6Q21VydFLVH3TRQUabQu_ym0Zz7PgGX0-kHA/edit?usp=sharing"",""แผน!AI60"")"),0)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IFERROR(__xludf.DUMMYFUNCTION("IMPORTRANGE(""https://docs.google.com/spreadsheets/d/1QqKyyYR6Q21VydFLVH3TRQUabQu_ym0Zz7PgGX0-kHA/edit?usp=sharing"",""แผน!AP60"")"),3000)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IFERROR(__xludf.DUMMYFUNCTION("IMPORTRANGE(""https://docs.google.com/spreadsheets/d/1QqKyyYR6Q21VydFLVH3TRQUabQu_ym0Zz7PgGX0-kHA/edit?usp=sharing"",""แผน!AQ60"")"),2900)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IFERROR(__xludf.DUMMYFUNCTION("IMPORTRANGE(""https://docs.google.com/spreadsheets/d/1QqKyyYR6Q21VydFLVH3TRQUabQu_ym0Zz7PgGX0-kHA/edit?usp=sharing"",""แผน!AR60"")"),0)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IFERROR(__xludf.DUMMYFUNCTION("IMPORTRANGE(""https://docs.google.com/spreadsheets/d/1QqKyyYR6Q21VydFLVH3TRQUabQu_ym0Zz7PgGX0-kHA/edit?usp=sharing"",""แผน!AT60"")"),5000)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IFERROR(__xludf.DUMMYFUNCTION("IMPORTRANGE(""https://docs.google.com/spreadsheets/d/1QqKyyYR6Q21VydFLVH3TRQUabQu_ym0Zz7PgGX0-kHA/edit?usp=sharing"",""แผน!AT60"")"),5000)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IFERROR(__xludf.DUMMYFUNCTION("IMPORTRANGE(""https://docs.google.com/spreadsheets/d/1QqKyyYR6Q21VydFLVH3TRQUabQu_ym0Zz7PgGX0-kHA/edit?usp=sharing"",""แผน!AS60"")"),0)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15</v>
      </c>
      <c r="J226" s="345">
        <f t="shared" si="104"/>
        <v>15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56550</v>
      </c>
      <c r="M227" s="356"/>
      <c r="N227" s="356">
        <f t="shared" ref="N227:N231" si="106">N238+N249</f>
        <v>45960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20000</v>
      </c>
      <c r="M228" s="93"/>
      <c r="N228" s="93">
        <f t="shared" si="106"/>
        <v>9410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16550</v>
      </c>
      <c r="M229" s="93"/>
      <c r="N229" s="93">
        <f t="shared" si="106"/>
        <v>16550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10000</v>
      </c>
      <c r="M230" s="93"/>
      <c r="N230" s="93">
        <f t="shared" si="106"/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15</v>
      </c>
      <c r="J233" s="612">
        <f t="shared" si="107"/>
        <v>15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15</v>
      </c>
      <c r="J235" s="612">
        <f t="shared" si="108"/>
        <v>15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15</v>
      </c>
      <c r="J237" s="272">
        <f t="shared" si="110"/>
        <v>15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56550</v>
      </c>
      <c r="M238" s="155"/>
      <c r="N238" s="155">
        <f>N239+N240+N241+N242</f>
        <v>45960</v>
      </c>
      <c r="O238" s="155">
        <f ca="1">IF(L238&gt;0,N238*100/L238,0)</f>
        <v>81.273209549071623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IFERROR(__xludf.DUMMYFUNCTION("IMPORTRANGE(""https://docs.google.com/spreadsheets/d/1QqKyyYR6Q21VydFLVH3TRQUabQu_ym0Zz7PgGX0-kHA/edit?usp=sharing"",""แผน!AV60"")"),20000)</f>
        <v>20000</v>
      </c>
      <c r="M239" s="283"/>
      <c r="N239" s="872">
        <v>9410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IFERROR(__xludf.DUMMYFUNCTION("IMPORTRANGE(""https://docs.google.com/spreadsheets/d/1QqKyyYR6Q21VydFLVH3TRQUabQu_ym0Zz7PgGX0-kHA/edit?usp=sharing"",""แผน!AW60"")"),16550)</f>
        <v>16550</v>
      </c>
      <c r="M240" s="283"/>
      <c r="N240" s="872">
        <v>16550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IFERROR(__xludf.DUMMYFUNCTION("IMPORTRANGE(""https://docs.google.com/spreadsheets/d/1QqKyyYR6Q21VydFLVH3TRQUabQu_ym0Zz7PgGX0-kHA/edit?usp=sharing"",""แผน!AX60"")"),10000)</f>
        <v>10000</v>
      </c>
      <c r="M241" s="283"/>
      <c r="N241" s="872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IFERROR(__xludf.DUMMYFUNCTION("IMPORTRANGE(""https://docs.google.com/spreadsheets/d/1QqKyyYR6Q21VydFLVH3TRQUabQu_ym0Zz7PgGX0-kHA/edit?usp=sharing"",""แผน!AY60"")"),10000)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IFERROR(__xludf.DUMMYFUNCTION("IMPORTRANGE(""https://docs.google.com/spreadsheets/d/1QqKyyYR6Q21VydFLVH3TRQUabQu_ym0Zz7PgGX0-kHA/edit?usp=sharing"",""แผน!BE60"")"),15)</f>
        <v>15</v>
      </c>
      <c r="J244" s="215">
        <v>15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15</v>
      </c>
      <c r="J246" s="215">
        <v>15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IFERROR(__xludf.DUMMYFUNCTION("IMPORTRANGE(""https://docs.google.com/spreadsheets/d/1QqKyyYR6Q21VydFLVH3TRQUabQu_ym0Zz7PgGX0-kHA/edit?usp=sharing"",""แผน!AZ60"")"),0)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IFERROR(__xludf.DUMMYFUNCTION("IMPORTRANGE(""https://docs.google.com/spreadsheets/d/1QqKyyYR6Q21VydFLVH3TRQUabQu_ym0Zz7PgGX0-kHA/edit?usp=sharing"",""แผน!BA60"")"),0)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IFERROR(__xludf.DUMMYFUNCTION("IMPORTRANGE(""https://docs.google.com/spreadsheets/d/1QqKyyYR6Q21VydFLVH3TRQUabQu_ym0Zz7PgGX0-kHA/edit?usp=sharing"",""แผน!BB60"")"),0)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IFERROR(__xludf.DUMMYFUNCTION("IMPORTRANGE(""https://docs.google.com/spreadsheets/d/1QqKyyYR6Q21VydFLVH3TRQUabQu_ym0Zz7PgGX0-kHA/edit?usp=sharing"",""แผน!BC60"")"),0)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20</v>
      </c>
      <c r="J260" s="253">
        <f t="shared" si="114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25000</v>
      </c>
      <c r="M261" s="155">
        <f t="shared" ca="1" si="115"/>
        <v>25000</v>
      </c>
      <c r="N261" s="155">
        <f t="shared" ca="1" si="115"/>
        <v>21880</v>
      </c>
      <c r="O261" s="155">
        <f t="shared" ref="O261:O269" ca="1" si="116">IF(L261&gt;0,N261*100/L261,0)</f>
        <v>87.52</v>
      </c>
      <c r="P261" s="155">
        <f t="shared" ref="P261:P269" ca="1" si="117">IF(M261&gt;0,N261*100/M261,0)</f>
        <v>87.52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25000</v>
      </c>
      <c r="M263" s="93">
        <f t="shared" ca="1" si="118"/>
        <v>25000</v>
      </c>
      <c r="N263" s="93">
        <f t="shared" ca="1" si="118"/>
        <v>21880</v>
      </c>
      <c r="O263" s="93">
        <f t="shared" ca="1" si="116"/>
        <v>87.52</v>
      </c>
      <c r="P263" s="93">
        <f t="shared" ca="1" si="117"/>
        <v>87.52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25000</v>
      </c>
      <c r="M264" s="497">
        <f t="shared" ca="1" si="119"/>
        <v>25000</v>
      </c>
      <c r="N264" s="497">
        <f t="shared" ca="1" si="119"/>
        <v>21880</v>
      </c>
      <c r="O264" s="497">
        <f t="shared" ca="1" si="116"/>
        <v>87.52</v>
      </c>
      <c r="P264" s="497">
        <f t="shared" ca="1" si="117"/>
        <v>87.52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IFERROR(__xludf.DUMMYFUNCTION("IMPORTRANGE(""https://docs.google.com/spreadsheets/d/1MeEWN-I1oV_STSDYn1IFDPWt_1FKiwhDph83XaGc0o0/edit?usp=sharing"",""งบพรบ!CY60"")"),25000)</f>
        <v>25000</v>
      </c>
      <c r="M266" s="93">
        <f ca="1">IFERROR(__xludf.DUMMYFUNCTION("IMPORTRANGE(""https://docs.google.com/spreadsheets/d/1MeEWN-I1oV_STSDYn1IFDPWt_1FKiwhDph83XaGc0o0/edit?usp=sharing"",""งบพรบ!DD60"")"),25000)</f>
        <v>25000</v>
      </c>
      <c r="N266" s="93">
        <f ca="1">IFERROR(__xludf.DUMMYFUNCTION("IMPORTRANGE(""https://docs.google.com/spreadsheets/d/1MeEWN-I1oV_STSDYn1IFDPWt_1FKiwhDph83XaGc0o0/edit?usp=sharing"",""งบพรบ!DF60"")"),21880)</f>
        <v>21880</v>
      </c>
      <c r="O266" s="93">
        <f t="shared" ca="1" si="116"/>
        <v>87.52</v>
      </c>
      <c r="P266" s="93">
        <f t="shared" ca="1" si="117"/>
        <v>87.52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IFERROR(__xludf.DUMMYFUNCTION("IMPORTRANGE(""https://docs.google.com/spreadsheets/d/1MeEWN-I1oV_STSDYn1IFDPWt_1FKiwhDph83XaGc0o0/edit?usp=sharing"",""งบพรบ!DB60"")"),0)</f>
        <v>0</v>
      </c>
      <c r="M269" s="93">
        <f ca="1">IFERROR(__xludf.DUMMYFUNCTION("IMPORTRANGE(""https://docs.google.com/spreadsheets/d/1MeEWN-I1oV_STSDYn1IFDPWt_1FKiwhDph83XaGc0o0/edit?usp=sharing"",""งบพรบ!DE60"")"),0)</f>
        <v>0</v>
      </c>
      <c r="N269" s="93">
        <f ca="1">IFERROR(__xludf.DUMMYFUNCTION("IMPORTRANGE(""https://docs.google.com/spreadsheets/d/1MeEWN-I1oV_STSDYn1IFDPWt_1FKiwhDph83XaGc0o0/edit?usp=sharing"",""งบพรบ!DG60"")"),0)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IFERROR(__xludf.DUMMYFUNCTION("IMPORTRANGE(""https://docs.google.com/spreadsheets/d/1MeEWN-I1oV_STSDYn1IFDPWt_1FKiwhDph83XaGc0o0/edit?usp=sharing"",""งบพรบ!DI60"")"),0)</f>
        <v>0</v>
      </c>
      <c r="M282" s="93">
        <f ca="1">IFERROR(__xludf.DUMMYFUNCTION("IMPORTRANGE(""https://docs.google.com/spreadsheets/d/1MeEWN-I1oV_STSDYn1IFDPWt_1FKiwhDph83XaGc0o0/edit?usp=sharing"",""งบพรบ!DN60"")"),0)</f>
        <v>0</v>
      </c>
      <c r="N282" s="93">
        <f ca="1">IFERROR(__xludf.DUMMYFUNCTION("IMPORTRANGE(""https://docs.google.com/spreadsheets/d/1MeEWN-I1oV_STSDYn1IFDPWt_1FKiwhDph83XaGc0o0/edit?usp=sharing"",""งบพรบ!DP60"")"),0)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IFERROR(__xludf.DUMMYFUNCTION("IMPORTRANGE(""https://docs.google.com/spreadsheets/d/1MeEWN-I1oV_STSDYn1IFDPWt_1FKiwhDph83XaGc0o0/edit?usp=sharing"",""งบพรบ!DL60"")"),0)</f>
        <v>0</v>
      </c>
      <c r="M285" s="93">
        <f ca="1">IFERROR(__xludf.DUMMYFUNCTION("IMPORTRANGE(""https://docs.google.com/spreadsheets/d/1MeEWN-I1oV_STSDYn1IFDPWt_1FKiwhDph83XaGc0o0/edit?usp=sharing"",""งบพรบ!DO60"")"),0)</f>
        <v>0</v>
      </c>
      <c r="N285" s="93">
        <f ca="1">IFERROR(__xludf.DUMMYFUNCTION("IMPORTRANGE(""https://docs.google.com/spreadsheets/d/1MeEWN-I1oV_STSDYn1IFDPWt_1FKiwhDph83XaGc0o0/edit?usp=sharing"",""งบพรบ!DQ60"")"),0)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IFERROR(__xludf.DUMMYFUNCTION("IMPORTRANGE(""https://docs.google.com/spreadsheets/d/1MeEWN-I1oV_STSDYn1IFDPWt_1FKiwhDph83XaGc0o0/edit?usp=sharing"",""งบพรบ!DS60"")"),0)</f>
        <v>0</v>
      </c>
      <c r="M303" s="93">
        <f ca="1">IFERROR(__xludf.DUMMYFUNCTION("IMPORTRANGE(""https://docs.google.com/spreadsheets/d/1MeEWN-I1oV_STSDYn1IFDPWt_1FKiwhDph83XaGc0o0/edit?usp=sharing"",""งบพรบ!DX60"")"),0)</f>
        <v>0</v>
      </c>
      <c r="N303" s="93">
        <f ca="1">IFERROR(__xludf.DUMMYFUNCTION("IMPORTRANGE(""https://docs.google.com/spreadsheets/d/1MeEWN-I1oV_STSDYn1IFDPWt_1FKiwhDph83XaGc0o0/edit?usp=sharing"",""งบพรบ!DZ60"")"),0)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IFERROR(__xludf.DUMMYFUNCTION("IMPORTRANGE(""https://docs.google.com/spreadsheets/d/1MeEWN-I1oV_STSDYn1IFDPWt_1FKiwhDph83XaGc0o0/edit?usp=sharing"",""งบพรบ!DV60"")"),0)</f>
        <v>0</v>
      </c>
      <c r="M306" s="93">
        <f ca="1">IFERROR(__xludf.DUMMYFUNCTION("IMPORTRANGE(""https://docs.google.com/spreadsheets/d/1MeEWN-I1oV_STSDYn1IFDPWt_1FKiwhDph83XaGc0o0/edit?usp=sharing"",""งบพรบ!DY60"")"),0)</f>
        <v>0</v>
      </c>
      <c r="N306" s="93">
        <f ca="1">IFERROR(__xludf.DUMMYFUNCTION("IMPORTRANGE(""https://docs.google.com/spreadsheets/d/1MeEWN-I1oV_STSDYn1IFDPWt_1FKiwhDph83XaGc0o0/edit?usp=sharing"",""งบพรบ!EA60"")"),0)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IFERROR(__xludf.DUMMYFUNCTION("IMPORTRANGE(""https://docs.google.com/spreadsheets/d/1QqKyyYR6Q21VydFLVH3TRQUabQu_ym0Zz7PgGX0-kHA/edit?usp=sharing"",""แผน!ED60"")"),0)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IFERROR(__xludf.DUMMYFUNCTION("IMPORTRANGE(""https://docs.google.com/spreadsheets/d/1QqKyyYR6Q21VydFLVH3TRQUabQu_ym0Zz7PgGX0-kHA/edit?usp=sharing"",""แผน!ED60"")"),0)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IFERROR(__xludf.DUMMYFUNCTION("IMPORTRANGE(""https://docs.google.com/spreadsheets/d/1QqKyyYR6Q21VydFLVH3TRQUabQu_ym0Zz7PgGX0-kHA/edit?usp=sharing"",""แผน!ED60"")"),0)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IFERROR(__xludf.DUMMYFUNCTION("IMPORTRANGE(""https://docs.google.com/spreadsheets/d/1QqKyyYR6Q21VydFLVH3TRQUabQu_ym0Zz7PgGX0-kHA/edit?usp=sharing"",""แผน!EE60"")"),0)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IFERROR(__xludf.DUMMYFUNCTION("IMPORTRANGE(""https://docs.google.com/spreadsheets/d/1MeEWN-I1oV_STSDYn1IFDPWt_1FKiwhDph83XaGc0o0/edit?usp=sharing"",""งบพรบ!EC60"")"),0)</f>
        <v>0</v>
      </c>
      <c r="M320" s="93">
        <f ca="1">IFERROR(__xludf.DUMMYFUNCTION("IMPORTRANGE(""https://docs.google.com/spreadsheets/d/1MeEWN-I1oV_STSDYn1IFDPWt_1FKiwhDph83XaGc0o0/edit?usp=sharing"",""งบพรบ!EH60"")"),0)</f>
        <v>0</v>
      </c>
      <c r="N320" s="93">
        <f ca="1">IFERROR(__xludf.DUMMYFUNCTION("IMPORTRANGE(""https://docs.google.com/spreadsheets/d/1MeEWN-I1oV_STSDYn1IFDPWt_1FKiwhDph83XaGc0o0/edit?usp=sharing"",""งบพรบ!EJ60"")"),0)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IFERROR(__xludf.DUMMYFUNCTION("IMPORTRANGE(""https://docs.google.com/spreadsheets/d/1MeEWN-I1oV_STSDYn1IFDPWt_1FKiwhDph83XaGc0o0/edit?usp=sharing"",""งบพรบ!EF60"")"),0)</f>
        <v>0</v>
      </c>
      <c r="M323" s="93">
        <f ca="1">IFERROR(__xludf.DUMMYFUNCTION("IMPORTRANGE(""https://docs.google.com/spreadsheets/d/1MeEWN-I1oV_STSDYn1IFDPWt_1FKiwhDph83XaGc0o0/edit?usp=sharing"",""งบพรบ!EI60"")"),0)</f>
        <v>0</v>
      </c>
      <c r="N323" s="93">
        <f ca="1">IFERROR(__xludf.DUMMYFUNCTION("IMPORTRANGE(""https://docs.google.com/spreadsheets/d/1MeEWN-I1oV_STSDYn1IFDPWt_1FKiwhDph83XaGc0o0/edit?usp=sharing"",""งบพรบ!EK60"")"),0)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IFERROR(__xludf.DUMMYFUNCTION("IMPORTRANGE(""https://docs.google.com/spreadsheets/d/1QqKyyYR6Q21VydFLVH3TRQUabQu_ym0Zz7PgGX0-kHA/edit?usp=sharing"",""แผน!EG60"")"),200)</f>
        <v>200</v>
      </c>
      <c r="J327" s="444">
        <f ca="1">J338+J341+J342+J343</f>
        <v>236</v>
      </c>
      <c r="K327" s="445">
        <f ca="1">IF(I327&gt;0,J327*100/I327,0)</f>
        <v>118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244600</v>
      </c>
      <c r="M328" s="155">
        <f t="shared" ca="1" si="148"/>
        <v>247100</v>
      </c>
      <c r="N328" s="155">
        <f t="shared" ca="1" si="148"/>
        <v>187855</v>
      </c>
      <c r="O328" s="155">
        <f t="shared" ref="O328:O336" ca="1" si="149">IF(L328&gt;0,N328*100/L328,0)</f>
        <v>76.800899427636963</v>
      </c>
      <c r="P328" s="155">
        <f t="shared" ref="P328:P336" ca="1" si="150">IF(M328&gt;0,N328*100/M328,0)</f>
        <v>76.023876972885475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244600</v>
      </c>
      <c r="M330" s="93">
        <f t="shared" ca="1" si="151"/>
        <v>247100</v>
      </c>
      <c r="N330" s="93">
        <f t="shared" ca="1" si="151"/>
        <v>187855</v>
      </c>
      <c r="O330" s="93">
        <f t="shared" ca="1" si="149"/>
        <v>76.800899427636963</v>
      </c>
      <c r="P330" s="93">
        <f t="shared" ca="1" si="150"/>
        <v>76.023876972885475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244600</v>
      </c>
      <c r="M331" s="497">
        <f t="shared" ca="1" si="152"/>
        <v>247100</v>
      </c>
      <c r="N331" s="497">
        <f t="shared" ca="1" si="152"/>
        <v>187855</v>
      </c>
      <c r="O331" s="497">
        <f t="shared" ca="1" si="149"/>
        <v>76.800899427636963</v>
      </c>
      <c r="P331" s="497">
        <f t="shared" ca="1" si="150"/>
        <v>76.023876972885475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IFERROR(__xludf.DUMMYFUNCTION("IMPORTRANGE(""https://docs.google.com/spreadsheets/d/1MeEWN-I1oV_STSDYn1IFDPWt_1FKiwhDph83XaGc0o0/edit?usp=sharing"",""งบพรบ!EM60"")"),244600)</f>
        <v>244600</v>
      </c>
      <c r="M333" s="93">
        <f ca="1">IFERROR(__xludf.DUMMYFUNCTION("IMPORTRANGE(""https://docs.google.com/spreadsheets/d/1MeEWN-I1oV_STSDYn1IFDPWt_1FKiwhDph83XaGc0o0/edit?usp=sharing"",""งบพรบ!ER60"")"),247100)</f>
        <v>247100</v>
      </c>
      <c r="N333" s="93">
        <f ca="1">IFERROR(__xludf.DUMMYFUNCTION("IMPORTRANGE(""https://docs.google.com/spreadsheets/d/1MeEWN-I1oV_STSDYn1IFDPWt_1FKiwhDph83XaGc0o0/edit?usp=sharing"",""งบพรบ!ET60"")"),187855)</f>
        <v>187855</v>
      </c>
      <c r="O333" s="93">
        <f t="shared" ca="1" si="149"/>
        <v>76.800899427636963</v>
      </c>
      <c r="P333" s="93">
        <f t="shared" ca="1" si="150"/>
        <v>76.023876972885475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IFERROR(__xludf.DUMMYFUNCTION("IMPORTRANGE(""https://docs.google.com/spreadsheets/d/1MeEWN-I1oV_STSDYn1IFDPWt_1FKiwhDph83XaGc0o0/edit?usp=sharing"",""งบพรบ!EP60"")"),0)</f>
        <v>0</v>
      </c>
      <c r="M336" s="93">
        <f ca="1">IFERROR(__xludf.DUMMYFUNCTION("IMPORTRANGE(""https://docs.google.com/spreadsheets/d/1MeEWN-I1oV_STSDYn1IFDPWt_1FKiwhDph83XaGc0o0/edit?usp=sharing"",""งบพรบ!ES60"")"),0)</f>
        <v>0</v>
      </c>
      <c r="N336" s="93">
        <f ca="1">IFERROR(__xludf.DUMMYFUNCTION("IMPORTRANGE(""https://docs.google.com/spreadsheets/d/1MeEWN-I1oV_STSDYn1IFDPWt_1FKiwhDph83XaGc0o0/edit?usp=sharing"",""งบพรบ!EU60"")"),0)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IFERROR(__xludf.DUMMYFUNCTION("IMPORTRANGE(""https://docs.google.com/spreadsheets/d/1QqKyyYR6Q21VydFLVH3TRQUabQu_ym0Zz7PgGX0-kHA/edit?usp=sharing"",""แผน!EG60"")"),200)</f>
        <v>200</v>
      </c>
      <c r="J338" s="270">
        <f ca="1">IFERROR(__xludf.DUMMYFUNCTION("IMPORTRANGE(""https://docs.google.com/spreadsheets/d/1kVcqe37tkHyjCSG3S0O1AXqVkqjo8mSIZil3BcpIysc/edit?usp=sharing"",""ศูนย์!D60"")"),134)</f>
        <v>134</v>
      </c>
      <c r="K338" s="497">
        <f ca="1">IF(I338&gt;0,J338*100/I338,0)</f>
        <v>67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IFERROR(__xludf.DUMMYFUNCTION("IMPORTRANGE(""https://docs.google.com/spreadsheets/d/1QqKyyYR6Q21VydFLVH3TRQUabQu_ym0Zz7PgGX0-kHA/edit?usp=sharing"",""แผน!EH60"")"),2)</f>
        <v>2</v>
      </c>
      <c r="J340" s="270">
        <f ca="1">IFERROR(__xludf.DUMMYFUNCTION("IMPORTRANGE(""https://docs.google.com/spreadsheets/d/1kVcqe37tkHyjCSG3S0O1AXqVkqjo8mSIZil3BcpIysc/edit?usp=sharing"",""ศูนย์!E60"")"),2)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IFERROR(__xludf.DUMMYFUNCTION("IMPORTRANGE(""https://docs.google.com/spreadsheets/d/1kVcqe37tkHyjCSG3S0O1AXqVkqjo8mSIZil3BcpIysc/edit?usp=sharing"",""ศูนย์!F60"")"),102)</f>
        <v>102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228910</v>
      </c>
      <c r="M345" s="155">
        <f t="shared" ca="1" si="154"/>
        <v>228910</v>
      </c>
      <c r="N345" s="155">
        <f t="shared" ca="1" si="154"/>
        <v>158860</v>
      </c>
      <c r="O345" s="155">
        <f t="shared" ref="O345:O353" ca="1" si="155">IF(L345&gt;0,N345*100/L345,0)</f>
        <v>69.398453540692856</v>
      </c>
      <c r="P345" s="155">
        <f t="shared" ref="P345:P353" ca="1" si="156">IF(M345&gt;0,N345*100/M345,0)</f>
        <v>69.398453540692856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228910</v>
      </c>
      <c r="M347" s="93">
        <f t="shared" ca="1" si="157"/>
        <v>228910</v>
      </c>
      <c r="N347" s="93">
        <f t="shared" ca="1" si="157"/>
        <v>158860</v>
      </c>
      <c r="O347" s="93">
        <f t="shared" ca="1" si="155"/>
        <v>69.398453540692856</v>
      </c>
      <c r="P347" s="93">
        <f t="shared" ca="1" si="156"/>
        <v>69.398453540692856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191110</v>
      </c>
      <c r="M348" s="497">
        <f t="shared" ca="1" si="158"/>
        <v>191110</v>
      </c>
      <c r="N348" s="497">
        <f t="shared" ca="1" si="158"/>
        <v>121060</v>
      </c>
      <c r="O348" s="497">
        <f t="shared" ca="1" si="155"/>
        <v>63.345717126262365</v>
      </c>
      <c r="P348" s="497">
        <f t="shared" ca="1" si="156"/>
        <v>63.345717126262365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IFERROR(__xludf.DUMMYFUNCTION("IMPORTRANGE(""https://docs.google.com/spreadsheets/d/1MeEWN-I1oV_STSDYn1IFDPWt_1FKiwhDph83XaGc0o0/edit?usp=sharing"",""งบพรบ!EW60"")"),191110)</f>
        <v>191110</v>
      </c>
      <c r="M350" s="93">
        <f ca="1">IFERROR(__xludf.DUMMYFUNCTION("IMPORTRANGE(""https://docs.google.com/spreadsheets/d/1MeEWN-I1oV_STSDYn1IFDPWt_1FKiwhDph83XaGc0o0/edit?usp=sharing"",""งบพรบ!FB60"")"),191110)</f>
        <v>191110</v>
      </c>
      <c r="N350" s="93">
        <f ca="1">IFERROR(__xludf.DUMMYFUNCTION("IMPORTRANGE(""https://docs.google.com/spreadsheets/d/1MeEWN-I1oV_STSDYn1IFDPWt_1FKiwhDph83XaGc0o0/edit?usp=sharing"",""งบพรบ!FD60"")"),121060)</f>
        <v>121060</v>
      </c>
      <c r="O350" s="93">
        <f t="shared" ca="1" si="155"/>
        <v>63.345717126262365</v>
      </c>
      <c r="P350" s="93">
        <f t="shared" ca="1" si="156"/>
        <v>63.345717126262365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37800</v>
      </c>
      <c r="M351" s="497">
        <f t="shared" ca="1" si="159"/>
        <v>37800</v>
      </c>
      <c r="N351" s="497">
        <f t="shared" ca="1" si="159"/>
        <v>37800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IFERROR(__xludf.DUMMYFUNCTION("IMPORTRANGE(""https://docs.google.com/spreadsheets/d/1MeEWN-I1oV_STSDYn1IFDPWt_1FKiwhDph83XaGc0o0/edit?usp=sharing"",""งบพรบ!EZ60"")"),37800)</f>
        <v>37800</v>
      </c>
      <c r="M353" s="93">
        <f ca="1">IFERROR(__xludf.DUMMYFUNCTION("IMPORTRANGE(""https://docs.google.com/spreadsheets/d/1MeEWN-I1oV_STSDYn1IFDPWt_1FKiwhDph83XaGc0o0/edit?usp=sharing"",""งบพรบ!FC60"")"),37800)</f>
        <v>37800</v>
      </c>
      <c r="N353" s="93">
        <f ca="1">IFERROR(__xludf.DUMMYFUNCTION("IMPORTRANGE(""https://docs.google.com/spreadsheets/d/1MeEWN-I1oV_STSDYn1IFDPWt_1FKiwhDph83XaGc0o0/edit?usp=sharing"",""งบพรบ!FE60"")"),37800)</f>
        <v>37800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IFERROR(__xludf.DUMMYFUNCTION("IMPORTRANGE(""https://docs.google.com/spreadsheets/d/1QqKyyYR6Q21VydFLVH3TRQUabQu_ym0Zz7PgGX0-kHA/edit?usp=sharing"",""แผน!EP60"")"),0)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IFERROR(__xludf.DUMMYFUNCTION("IMPORTRANGE(""https://docs.google.com/spreadsheets/d/1XWAQStnk-4SwqDmLtmXYiTMKHgktTP8We1SCoS47DrQ/edit?usp=sharing"",""จัดที่ดิน!W60"")"),0)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IFERROR(__xludf.DUMMYFUNCTION("IMPORTRANGE(""https://docs.google.com/spreadsheets/d/1QqKyyYR6Q21VydFLVH3TRQUabQu_ym0Zz7PgGX0-kHA/edit?usp=sharing"",""แผน!EO60"")"),0)</f>
        <v>0</v>
      </c>
      <c r="J359" s="270">
        <f ca="1">IFERROR(__xludf.DUMMYFUNCTION("IMPORTRANGE(""https://docs.google.com/spreadsheets/d/1XWAQStnk-4SwqDmLtmXYiTMKHgktTP8We1SCoS47DrQ/edit?usp=sharing"",""จัดที่ดิน!X60"")"),0)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IFERROR(__xludf.DUMMYFUNCTION("IMPORTRANGE(""https://docs.google.com/spreadsheets/d/1QqKyyYR6Q21VydFLVH3TRQUabQu_ym0Zz7PgGX0-kHA/edit?usp=sharing"",""แผน!EP60"")"),0)</f>
        <v>0</v>
      </c>
      <c r="J360" s="270">
        <f ca="1">IFERROR(__xludf.DUMMYFUNCTION("IMPORTRANGE(""https://docs.google.com/spreadsheets/d/1XWAQStnk-4SwqDmLtmXYiTMKHgktTP8We1SCoS47DrQ/edit?usp=sharing"",""จัดที่ดิน!Y60"")"),0)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IFERROR(__xludf.DUMMYFUNCTION("IMPORTRANGE(""https://docs.google.com/spreadsheets/d/1XWAQStnk-4SwqDmLtmXYiTMKHgktTP8We1SCoS47DrQ/edit?usp=sharing"",""จัดที่ดิน!Z60"")"),0)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IFERROR(__xludf.DUMMYFUNCTION("IMPORTRANGE(""https://docs.google.com/spreadsheets/d/1QqKyyYR6Q21VydFLVH3TRQUabQu_ym0Zz7PgGX0-kHA/edit?usp=sharing"",""แผน!EP60"")"),0)</f>
        <v>0</v>
      </c>
      <c r="J362" s="270">
        <f ca="1">IFERROR(__xludf.DUMMYFUNCTION("IMPORTRANGE(""https://docs.google.com/spreadsheets/d/1XWAQStnk-4SwqDmLtmXYiTMKHgktTP8We1SCoS47DrQ/edit?usp=sharing"",""จัดที่ดิน!AA60"")"),0)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IFERROR(__xludf.DUMMYFUNCTION("IMPORTRANGE(""https://docs.google.com/spreadsheets/d/1XWAQStnk-4SwqDmLtmXYiTMKHgktTP8We1SCoS47DrQ/edit?usp=sharing"",""จัดที่ดิน!AB60"")"),0)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IFERROR(__xludf.DUMMYFUNCTION("IMPORTRANGE(""https://docs.google.com/spreadsheets/d/1QqKyyYR6Q21VydFLVH3TRQUabQu_ym0Zz7PgGX0-kHA/edit?usp=sharing"",""แผน!EJ60"")"),0)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IFERROR(__xludf.DUMMYFUNCTION("IMPORTRANGE(""https://docs.google.com/spreadsheets/d/1XWAQStnk-4SwqDmLtmXYiTMKHgktTP8We1SCoS47DrQ/edit?usp=sharing"",""จัดที่ดิน!E60"")"),0)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IFERROR(__xludf.DUMMYFUNCTION("IMPORTRANGE(""https://docs.google.com/spreadsheets/d/1QqKyyYR6Q21VydFLVH3TRQUabQu_ym0Zz7PgGX0-kHA/edit?usp=sharing"",""แผน!EI60"")"),0)</f>
        <v>0</v>
      </c>
      <c r="J369" s="270">
        <f ca="1">IFERROR(__xludf.DUMMYFUNCTION("IMPORTRANGE(""https://docs.google.com/spreadsheets/d/1XWAQStnk-4SwqDmLtmXYiTMKHgktTP8We1SCoS47DrQ/edit?usp=sharing"",""จัดที่ดิน!F60"")"),0)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IFERROR(__xludf.DUMMYFUNCTION("IMPORTRANGE(""https://docs.google.com/spreadsheets/d/1QqKyyYR6Q21VydFLVH3TRQUabQu_ym0Zz7PgGX0-kHA/edit?usp=sharing"",""แผน!EJ60"")"),0)</f>
        <v>0</v>
      </c>
      <c r="J370" s="270">
        <f ca="1">IFERROR(__xludf.DUMMYFUNCTION("IMPORTRANGE(""https://docs.google.com/spreadsheets/d/1XWAQStnk-4SwqDmLtmXYiTMKHgktTP8We1SCoS47DrQ/edit?usp=sharing"",""จัดที่ดิน!G60"")"),0)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IFERROR(__xludf.DUMMYFUNCTION("IMPORTRANGE(""https://docs.google.com/spreadsheets/d/1XWAQStnk-4SwqDmLtmXYiTMKHgktTP8We1SCoS47DrQ/edit?usp=sharing"",""จัดที่ดิน!H60"")"),0)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IFERROR(__xludf.DUMMYFUNCTION("IMPORTRANGE(""https://docs.google.com/spreadsheets/d/1QqKyyYR6Q21VydFLVH3TRQUabQu_ym0Zz7PgGX0-kHA/edit?usp=sharing"",""แผน!EJ60"")"),0)</f>
        <v>0</v>
      </c>
      <c r="J372" s="270">
        <f ca="1">IFERROR(__xludf.DUMMYFUNCTION("IMPORTRANGE(""https://docs.google.com/spreadsheets/d/1XWAQStnk-4SwqDmLtmXYiTMKHgktTP8We1SCoS47DrQ/edit?usp=sharing"",""จัดที่ดิน!I60"")"),0)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IFERROR(__xludf.DUMMYFUNCTION("IMPORTRANGE(""https://docs.google.com/spreadsheets/d/1XWAQStnk-4SwqDmLtmXYiTMKHgktTP8We1SCoS47DrQ/edit?usp=sharing"",""จัดที่ดิน!J60"")"),0)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IFERROR(__xludf.DUMMYFUNCTION("IMPORTRANGE(""https://docs.google.com/spreadsheets/d/1QqKyyYR6Q21VydFLVH3TRQUabQu_ym0Zz7PgGX0-kHA/edit?usp=sharing"",""แผน!EU60"")"),0)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IFERROR(__xludf.DUMMYFUNCTION("IMPORTRANGE(""https://docs.google.com/spreadsheets/d/1XWAQStnk-4SwqDmLtmXYiTMKHgktTP8We1SCoS47DrQ/edit?usp=sharing"",""จัดที่ดิน!AH60"")"),0)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IFERROR(__xludf.DUMMYFUNCTION("IMPORTRANGE(""https://docs.google.com/spreadsheets/d/1QqKyyYR6Q21VydFLVH3TRQUabQu_ym0Zz7PgGX0-kHA/edit?usp=sharing"",""แผน!ET60"")"),0)</f>
        <v>0</v>
      </c>
      <c r="J378" s="270">
        <f ca="1">IFERROR(__xludf.DUMMYFUNCTION("IMPORTRANGE(""https://docs.google.com/spreadsheets/d/1XWAQStnk-4SwqDmLtmXYiTMKHgktTP8We1SCoS47DrQ/edit?usp=sharing"",""จัดที่ดิน!AI60"")"),0)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IFERROR(__xludf.DUMMYFUNCTION("IMPORTRANGE(""https://docs.google.com/spreadsheets/d/1QqKyyYR6Q21VydFLVH3TRQUabQu_ym0Zz7PgGX0-kHA/edit?usp=sharing"",""แผน!EU60"")"),0)</f>
        <v>0</v>
      </c>
      <c r="J379" s="270">
        <f ca="1">IFERROR(__xludf.DUMMYFUNCTION("IMPORTRANGE(""https://docs.google.com/spreadsheets/d/1XWAQStnk-4SwqDmLtmXYiTMKHgktTP8We1SCoS47DrQ/edit?usp=sharing"",""จัดที่ดิน!AJ60"")"),0)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IFERROR(__xludf.DUMMYFUNCTION("IMPORTRANGE(""https://docs.google.com/spreadsheets/d/1XWAQStnk-4SwqDmLtmXYiTMKHgktTP8We1SCoS47DrQ/edit?usp=sharing"",""จัดที่ดิน!AK60"")"),0)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IFERROR(__xludf.DUMMYFUNCTION("IMPORTRANGE(""https://docs.google.com/spreadsheets/d/1QqKyyYR6Q21VydFLVH3TRQUabQu_ym0Zz7PgGX0-kHA/edit?usp=sharing"",""แผน!EU60"")"),0)</f>
        <v>0</v>
      </c>
      <c r="J381" s="270">
        <f ca="1">IFERROR(__xludf.DUMMYFUNCTION("IMPORTRANGE(""https://docs.google.com/spreadsheets/d/1XWAQStnk-4SwqDmLtmXYiTMKHgktTP8We1SCoS47DrQ/edit?usp=sharing"",""จัดที่ดิน!AL60"")"),0)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IFERROR(__xludf.DUMMYFUNCTION("IMPORTRANGE(""https://docs.google.com/spreadsheets/d/1XWAQStnk-4SwqDmLtmXYiTMKHgktTP8We1SCoS47DrQ/edit?usp=sharing"",""จัดที่ดิน!AM60"")"),0)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IFERROR(__xludf.DUMMYFUNCTION("IMPORTRANGE(""https://docs.google.com/spreadsheets/d/1QqKyyYR6Q21VydFLVH3TRQUabQu_ym0Zz7PgGX0-kHA/edit?usp=sharing"",""แผน!EW60"")"),0)</f>
        <v>0</v>
      </c>
      <c r="J385" s="501">
        <f ca="1">IFERROR(__xludf.DUMMYFUNCTION("IMPORTRANGE(""https://docs.google.com/spreadsheets/d/1XWAQStnk-4SwqDmLtmXYiTMKHgktTP8We1SCoS47DrQ/edit?usp=sharing"",""จัดที่ดิน!AP60"")"),0)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IFERROR(__xludf.DUMMYFUNCTION("IMPORTRANGE(""https://docs.google.com/spreadsheets/d/1MeEWN-I1oV_STSDYn1IFDPWt_1FKiwhDph83XaGc0o0/edit?usp=sharing"",""งบพรบ!FG60"")"),0)</f>
        <v>0</v>
      </c>
      <c r="M394" s="93">
        <f ca="1">IFERROR(__xludf.DUMMYFUNCTION("IMPORTRANGE(""https://docs.google.com/spreadsheets/d/1MeEWN-I1oV_STSDYn1IFDPWt_1FKiwhDph83XaGc0o0/edit?usp=sharing"",""งบพรบ!FL60"")"),0)</f>
        <v>0</v>
      </c>
      <c r="N394" s="93">
        <f ca="1">IFERROR(__xludf.DUMMYFUNCTION("IMPORTRANGE(""https://docs.google.com/spreadsheets/d/1MeEWN-I1oV_STSDYn1IFDPWt_1FKiwhDph83XaGc0o0/edit?usp=sharing"",""งบพรบ!FN60"")"),0)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IFERROR(__xludf.DUMMYFUNCTION("IMPORTRANGE(""https://docs.google.com/spreadsheets/d/1MeEWN-I1oV_STSDYn1IFDPWt_1FKiwhDph83XaGc0o0/edit?usp=sharing"",""งบพรบ!FJ60"")"),0)</f>
        <v>0</v>
      </c>
      <c r="M397" s="93">
        <f ca="1">IFERROR(__xludf.DUMMYFUNCTION("IMPORTRANGE(""https://docs.google.com/spreadsheets/d/1MeEWN-I1oV_STSDYn1IFDPWt_1FKiwhDph83XaGc0o0/edit?usp=sharing"",""งบพรบ!FM60"")"),0)</f>
        <v>0</v>
      </c>
      <c r="N397" s="93">
        <f ca="1">IFERROR(__xludf.DUMMYFUNCTION("IMPORTRANGE(""https://docs.google.com/spreadsheets/d/1MeEWN-I1oV_STSDYn1IFDPWt_1FKiwhDph83XaGc0o0/edit?usp=sharing"",""งบพรบ!FO60"")"),0)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IFERROR(__xludf.DUMMYFUNCTION("IMPORTRANGE(""https://docs.google.com/spreadsheets/d/1MeEWN-I1oV_STSDYn1IFDPWt_1FKiwhDph83XaGc0o0/edit?usp=sharing"",""งบพรบ!FQ60"")"),0)</f>
        <v>0</v>
      </c>
      <c r="M407" s="93">
        <f ca="1">IFERROR(__xludf.DUMMYFUNCTION("IMPORTRANGE(""https://docs.google.com/spreadsheets/d/1MeEWN-I1oV_STSDYn1IFDPWt_1FKiwhDph83XaGc0o0/edit?usp=sharing"",""งบพรบ!FV60"")"),0)</f>
        <v>0</v>
      </c>
      <c r="N407" s="93">
        <f ca="1">IFERROR(__xludf.DUMMYFUNCTION("IMPORTRANGE(""https://docs.google.com/spreadsheets/d/1MeEWN-I1oV_STSDYn1IFDPWt_1FKiwhDph83XaGc0o0/edit?usp=sharing"",""งบพรบ!FX60"")"),0)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IFERROR(__xludf.DUMMYFUNCTION("IMPORTRANGE(""https://docs.google.com/spreadsheets/d/1MeEWN-I1oV_STSDYn1IFDPWt_1FKiwhDph83XaGc0o0/edit?usp=sharing"",""งบพรบ!FT60"")"),0)</f>
        <v>0</v>
      </c>
      <c r="M410" s="93">
        <f ca="1">IFERROR(__xludf.DUMMYFUNCTION("IMPORTRANGE(""https://docs.google.com/spreadsheets/d/1MeEWN-I1oV_STSDYn1IFDPWt_1FKiwhDph83XaGc0o0/edit?usp=sharing"",""งบพรบ!FW60"")"),0)</f>
        <v>0</v>
      </c>
      <c r="N410" s="93">
        <f ca="1">IFERROR(__xludf.DUMMYFUNCTION("IMPORTRANGE(""https://docs.google.com/spreadsheets/d/1MeEWN-I1oV_STSDYn1IFDPWt_1FKiwhDph83XaGc0o0/edit?usp=sharing"",""งบพรบ!FY60"")"),0)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189140</v>
      </c>
      <c r="M414" s="549">
        <f t="shared" ca="1" si="180"/>
        <v>188830</v>
      </c>
      <c r="N414" s="549">
        <f t="shared" si="180"/>
        <v>147344</v>
      </c>
      <c r="O414" s="549">
        <f ca="1">IF(L414&gt;0,N414*100/L414,0)</f>
        <v>77.902083113037961</v>
      </c>
      <c r="P414" s="549">
        <f ca="1">IF(M414&gt;0,N414*100/M414,0)</f>
        <v>78.029974050733458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64460</v>
      </c>
      <c r="M419" s="155">
        <f t="shared" ca="1" si="183"/>
        <v>64150</v>
      </c>
      <c r="N419" s="155">
        <f t="shared" si="183"/>
        <v>64150</v>
      </c>
      <c r="O419" s="155">
        <f t="shared" ref="O419:O424" ca="1" si="184">IF(L419&gt;0,N419*100/L419,0)</f>
        <v>99.519081600992862</v>
      </c>
      <c r="P419" s="155">
        <f t="shared" ref="P419:P424" ca="1" si="185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64460</v>
      </c>
      <c r="M421" s="93">
        <f t="shared" ca="1" si="186"/>
        <v>64150</v>
      </c>
      <c r="N421" s="93">
        <f t="shared" si="186"/>
        <v>64150</v>
      </c>
      <c r="O421" s="93">
        <f t="shared" ca="1" si="184"/>
        <v>99.519081600992862</v>
      </c>
      <c r="P421" s="93">
        <f t="shared" ca="1" si="185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64460</v>
      </c>
      <c r="M422" s="497">
        <f t="shared" ca="1" si="187"/>
        <v>64150</v>
      </c>
      <c r="N422" s="497">
        <f t="shared" si="187"/>
        <v>64150</v>
      </c>
      <c r="O422" s="497">
        <f t="shared" ca="1" si="184"/>
        <v>99.519081600992862</v>
      </c>
      <c r="P422" s="497">
        <f t="shared" ca="1" si="185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IFERROR(__xludf.DUMMYFUNCTION("IMPORTRANGE(""https://docs.google.com/spreadsheets/d/1QqKyyYR6Q21VydFLVH3TRQUabQu_ym0Zz7PgGX0-kHA/edit?usp=sharing"",""แผน!EY60"")"),64460)</f>
        <v>64460</v>
      </c>
      <c r="M424" s="93">
        <f ca="1">L424-310</f>
        <v>64150</v>
      </c>
      <c r="N424" s="93">
        <f>N425+N426+N427+N428</f>
        <v>64150</v>
      </c>
      <c r="O424" s="93">
        <f t="shared" ca="1" si="184"/>
        <v>99.519081600992862</v>
      </c>
      <c r="P424" s="93">
        <f t="shared" ca="1" si="185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24300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39850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IFERROR(__xludf.DUMMYFUNCTION("IMPORTRANGE(""https://docs.google.com/spreadsheets/d/1QqKyyYR6Q21VydFLVH3TRQUabQu_ym0Zz7PgGX0-kHA/edit?usp=sharing"",""แผน!FC60"")"),10)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IFERROR(__xludf.DUMMYFUNCTION("IMPORTRANGE(""https://docs.google.com/spreadsheets/d/1QqKyyYR6Q21VydFLVH3TRQUabQu_ym0Zz7PgGX0-kHA/edit?usp=sharing"",""แผน!FF60"")"),10)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IFERROR(__xludf.DUMMYFUNCTION("IMPORTRANGE(""https://docs.google.com/spreadsheets/d/1QqKyyYR6Q21VydFLVH3TRQUabQu_ym0Zz7PgGX0-kHA/edit?usp=sharing"",""แผน!FJ60"")"),0)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IFERROR(__xludf.DUMMYFUNCTION("IMPORTRANGE(""https://docs.google.com/spreadsheets/d/1QqKyyYR6Q21VydFLVH3TRQUabQu_ym0Zz7PgGX0-kHA/edit?usp=sharing"",""แผน!FN60"")"),0)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IFERROR(__xludf.DUMMYFUNCTION("IMPORTRANGE(""https://docs.google.com/spreadsheets/d/1QqKyyYR6Q21VydFLVH3TRQUabQu_ym0Zz7PgGX0-kHA/edit?usp=sharing"",""แผน!FO60"")"),0)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IFERROR(__xludf.DUMMYFUNCTION("IMPORTRANGE(""https://docs.google.com/spreadsheets/d/1QqKyyYR6Q21VydFLVH3TRQUabQu_ym0Zz7PgGX0-kHA/edit?usp=sharing"",""แผน!FO60"")"),0)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IFERROR(__xludf.DUMMYFUNCTION("IMPORTRANGE(""https://docs.google.com/spreadsheets/d/1QqKyyYR6Q21VydFLVH3TRQUabQu_ym0Zz7PgGX0-kHA/edit?usp=sharing"",""แผน!FN60"")"),0)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IFERROR(__xludf.DUMMYFUNCTION("IMPORTRANGE(""https://docs.google.com/spreadsheets/d/1QqKyyYR6Q21VydFLVH3TRQUabQu_ym0Zz7PgGX0-kHA/edit?usp=sharing"",""แผน!FX60"")"),0)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IFERROR(__xludf.DUMMYFUNCTION("IMPORTRANGE(""https://docs.google.com/spreadsheets/d/1QqKyyYR6Q21VydFLVH3TRQUabQu_ym0Zz7PgGX0-kHA/edit?usp=sharing"",""แผน!FW60"")"),0)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IFERROR(__xludf.DUMMYFUNCTION("IMPORTRANGE(""https://docs.google.com/spreadsheets/d/1QqKyyYR6Q21VydFLVH3TRQUabQu_ym0Zz7PgGX0-kHA/edit?usp=sharing"",""แผน!FS60"")"),0)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IFERROR(__xludf.DUMMYFUNCTION("IMPORTRANGE(""https://docs.google.com/spreadsheets/d/1QqKyyYR6Q21VydFLVH3TRQUabQu_ym0Zz7PgGX0-kHA/edit?usp=sharing"",""แผน!FY60"")"),0)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IFERROR(__xludf.DUMMYFUNCTION("IMPORTRANGE(""https://docs.google.com/spreadsheets/d/1QqKyyYR6Q21VydFLVH3TRQUabQu_ym0Zz7PgGX0-kHA/edit?usp=sharing"",""แผน!FZ60"")"),0)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IFERROR(__xludf.DUMMYFUNCTION("IMPORTRANGE(""https://docs.google.com/spreadsheets/d/1QqKyyYR6Q21VydFLVH3TRQUabQu_ym0Zz7PgGX0-kHA/edit?usp=sharing"",""แผน!GA60"")"),0)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IFERROR(__xludf.DUMMYFUNCTION("IMPORTRANGE(""https://docs.google.com/spreadsheets/d/1QqKyyYR6Q21VydFLVH3TRQUabQu_ym0Zz7PgGX0-kHA/edit?usp=sharing"",""แผน!GB60"")"),0)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IFERROR(__xludf.DUMMYFUNCTION("IMPORTRANGE(""https://docs.google.com/spreadsheets/d/1QqKyyYR6Q21VydFLVH3TRQUabQu_ym0Zz7PgGX0-kHA/edit?usp=sharing"",""แผน!GC60"")"),0)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IFERROR(__xludf.DUMMYFUNCTION("IMPORTRANGE(""https://docs.google.com/spreadsheets/d/1QqKyyYR6Q21VydFLVH3TRQUabQu_ym0Zz7PgGX0-kHA/edit?usp=sharing"",""แผน!FY60"")"),0)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IFERROR(__xludf.DUMMYFUNCTION("IMPORTRANGE(""https://docs.google.com/spreadsheets/d/1QqKyyYR6Q21VydFLVH3TRQUabQu_ym0Zz7PgGX0-kHA/edit?usp=sharing"",""แผน!GA60"")"),0)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120300</v>
      </c>
      <c r="M544" s="155">
        <f t="shared" ca="1" si="235"/>
        <v>120300</v>
      </c>
      <c r="N544" s="155">
        <f t="shared" si="235"/>
        <v>78814</v>
      </c>
      <c r="O544" s="155">
        <f t="shared" ref="O544:O549" ca="1" si="236">IF(L544&gt;0,N544*100/L544,0)</f>
        <v>65.514546965918541</v>
      </c>
      <c r="P544" s="155">
        <f t="shared" ref="P544:P549" ca="1" si="237">IF(M544&gt;0,N544*100/M544,0)</f>
        <v>65.514546965918541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120300</v>
      </c>
      <c r="M546" s="93">
        <f t="shared" ca="1" si="239"/>
        <v>120300</v>
      </c>
      <c r="N546" s="93">
        <f t="shared" si="239"/>
        <v>78814</v>
      </c>
      <c r="O546" s="93">
        <f t="shared" ca="1" si="236"/>
        <v>65.514546965918541</v>
      </c>
      <c r="P546" s="93">
        <f t="shared" ca="1" si="237"/>
        <v>65.514546965918541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120300</v>
      </c>
      <c r="M547" s="497">
        <f t="shared" ca="1" si="240"/>
        <v>120300</v>
      </c>
      <c r="N547" s="497">
        <f t="shared" si="240"/>
        <v>78814</v>
      </c>
      <c r="O547" s="497">
        <f t="shared" ca="1" si="236"/>
        <v>65.514546965918541</v>
      </c>
      <c r="P547" s="497">
        <f t="shared" ca="1" si="237"/>
        <v>65.514546965918541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IFERROR(__xludf.DUMMYFUNCTION("IMPORTRANGE(""https://docs.google.com/spreadsheets/d/1QqKyyYR6Q21VydFLVH3TRQUabQu_ym0Zz7PgGX0-kHA/edit?usp=sharing"",""แผน!HB60"")"),120300)</f>
        <v>120300</v>
      </c>
      <c r="M549" s="93">
        <f ca="1">L549</f>
        <v>120300</v>
      </c>
      <c r="N549" s="93">
        <f>N550+N551+N552+N553+N554</f>
        <v>78814</v>
      </c>
      <c r="O549" s="93">
        <f t="shared" ca="1" si="236"/>
        <v>65.514546965918541</v>
      </c>
      <c r="P549" s="93">
        <f t="shared" ca="1" si="237"/>
        <v>65.514546965918541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78814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1202.79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IFERROR(__xludf.DUMMYFUNCTION("IMPORTRANGE(""https://docs.google.com/spreadsheets/d/1QqKyyYR6Q21VydFLVH3TRQUabQu_ym0Zz7PgGX0-kHA/edit?usp=sharing"",""แผน!HJ60"")"),1202.79)</f>
        <v>1202.79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IFERROR(__xludf.DUMMYFUNCTION("IMPORTRANGE(""https://docs.google.com/spreadsheets/d/1QqKyyYR6Q21VydFLVH3TRQUabQu_ym0Zz7PgGX0-kHA/edit?usp=sharing"",""แผน!HI60"")"),181)</f>
        <v>181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IFERROR(__xludf.DUMMYFUNCTION("IMPORTRANGE(""https://docs.google.com/spreadsheets/d/1QqKyyYR6Q21VydFLVH3TRQUabQu_ym0Zz7PgGX0-kHA/edit?usp=sharing"",""แผน!HN60"")"),0)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IFERROR(__xludf.DUMMYFUNCTION("IMPORTRANGE(""https://docs.google.com/spreadsheets/d/1XWAQStnk-4SwqDmLtmXYiTMKHgktTP8We1SCoS47DrQ/edit?usp=sharing"",""จัดที่ดิน!AS60"")"),0)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IFERROR(__xludf.DUMMYFUNCTION("IMPORTRANGE(""https://docs.google.com/spreadsheets/d/1XWAQStnk-4SwqDmLtmXYiTMKHgktTP8We1SCoS47DrQ/edit?usp=sharing"",""จัดที่ดิน!AT60"")"),0)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IFERROR(__xludf.DUMMYFUNCTION("IMPORTRANGE(""https://docs.google.com/spreadsheets/d/1QqKyyYR6Q21VydFLVH3TRQUabQu_ym0Zz7PgGX0-kHA/edit?usp=sharing"",""แผน!HS60"")"),0)</f>
        <v>0</v>
      </c>
      <c r="J647" s="270">
        <f ca="1">IFERROR(__xludf.DUMMYFUNCTION("IMPORTRANGE(""https://docs.google.com/spreadsheets/d/1XWAQStnk-4SwqDmLtmXYiTMKHgktTP8We1SCoS47DrQ/edit?usp=sharing"",""จัดที่ดิน!AU60"")"),0)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IFERROR(__xludf.DUMMYFUNCTION("IMPORTRANGE(""https://docs.google.com/spreadsheets/d/1XWAQStnk-4SwqDmLtmXYiTMKHgktTP8We1SCoS47DrQ/edit?usp=sharing"",""จัดที่ดิน!AV60"")"),0)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IFERROR(__xludf.DUMMYFUNCTION("IMPORTRANGE(""https://docs.google.com/spreadsheets/d/1QqKyyYR6Q21VydFLVH3TRQUabQu_ym0Zz7PgGX0-kHA/edit?usp=sharing"",""แผน!HS60"")"),0)</f>
        <v>0</v>
      </c>
      <c r="J649" s="270">
        <f ca="1">IFERROR(__xludf.DUMMYFUNCTION("IMPORTRANGE(""https://docs.google.com/spreadsheets/d/1XWAQStnk-4SwqDmLtmXYiTMKHgktTP8We1SCoS47DrQ/edit?usp=sharing"",""จัดที่ดิน!AW60"")"),0)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IFERROR(__xludf.DUMMYFUNCTION("IMPORTRANGE(""https://docs.google.com/spreadsheets/d/1XWAQStnk-4SwqDmLtmXYiTMKHgktTP8We1SCoS47DrQ/edit?usp=sharing"",""จัดที่ดิน!AX60"")"),0)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IFERROR(__xludf.DUMMYFUNCTION("IMPORTRANGE(""https://docs.google.com/spreadsheets/d/1QqKyyYR6Q21VydFLVH3TRQUabQu_ym0Zz7PgGX0-kHA/edit?usp=sharing"",""แผน!HS60"")"),0)</f>
        <v>0</v>
      </c>
      <c r="J651" s="270">
        <f ca="1">IFERROR(__xludf.DUMMYFUNCTION("IMPORTRANGE(""https://docs.google.com/spreadsheets/d/1XWAQStnk-4SwqDmLtmXYiTMKHgktTP8We1SCoS47DrQ/edit?usp=sharing"",""จัดที่ดิน!AY60"")"),0)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IFERROR(__xludf.DUMMYFUNCTION("IMPORTRANGE(""https://docs.google.com/spreadsheets/d/1XWAQStnk-4SwqDmLtmXYiTMKHgktTP8We1SCoS47DrQ/edit?usp=sharing"",""จัดที่ดิน!AZ60"")"),0)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0</v>
      </c>
      <c r="M658" s="497">
        <f t="shared" si="276"/>
        <v>0</v>
      </c>
      <c r="N658" s="497">
        <f t="shared" si="276"/>
        <v>0</v>
      </c>
      <c r="O658" s="497">
        <f t="shared" ca="1" si="273"/>
        <v>0</v>
      </c>
      <c r="P658" s="497">
        <f t="shared" si="274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IFERROR(__xludf.DUMMYFUNCTION("IMPORTRANGE(""https://docs.google.com/spreadsheets/d/1QqKyyYR6Q21VydFLVH3TRQUabQu_ym0Zz7PgGX0-kHA/edit?usp=sharing"",""แผน!HV60"")"),0)</f>
        <v>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IFERROR(__xludf.DUMMYFUNCTION("IMPORTRANGE(""https://docs.google.com/spreadsheets/d/1QqKyyYR6Q21VydFLVH3TRQUabQu_ym0Zz7PgGX0-kHA/edit?usp=sharing"",""แผน!IA60"")"),0)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4380</v>
      </c>
      <c r="M685" s="195">
        <f t="shared" ca="1" si="281"/>
        <v>4380</v>
      </c>
      <c r="N685" s="195">
        <f t="shared" si="281"/>
        <v>4380</v>
      </c>
      <c r="O685" s="195">
        <f t="shared" ref="O685:O688" ca="1" si="282">IF(L685&gt;0,N685*100/L685,0)</f>
        <v>100</v>
      </c>
      <c r="P685" s="195">
        <f t="shared" ref="P685:P688" ca="1" si="283">IF(M685&gt;0,N685*100/M685,0)</f>
        <v>100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4380</v>
      </c>
      <c r="M687" s="93">
        <f t="shared" ca="1" si="284"/>
        <v>4380</v>
      </c>
      <c r="N687" s="93">
        <f t="shared" si="284"/>
        <v>4380</v>
      </c>
      <c r="O687" s="93">
        <f t="shared" ca="1" si="282"/>
        <v>100</v>
      </c>
      <c r="P687" s="93">
        <f t="shared" ca="1" si="283"/>
        <v>100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4380</v>
      </c>
      <c r="M688" s="497">
        <f t="shared" ca="1" si="285"/>
        <v>4380</v>
      </c>
      <c r="N688" s="497">
        <f t="shared" si="285"/>
        <v>4380</v>
      </c>
      <c r="O688" s="497">
        <f t="shared" ca="1" si="282"/>
        <v>100</v>
      </c>
      <c r="P688" s="497">
        <f t="shared" ca="1" si="283"/>
        <v>100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IFERROR(__xludf.DUMMYFUNCTION("IMPORTRANGE(""https://docs.google.com/spreadsheets/d/1QqKyyYR6Q21VydFLVH3TRQUabQu_ym0Zz7PgGX0-kHA/edit?usp=sharing"",""แผน!HW60"")"),4380)</f>
        <v>4380</v>
      </c>
      <c r="M690" s="93">
        <f ca="1">L690</f>
        <v>4380</v>
      </c>
      <c r="N690" s="93">
        <f>N691+N692+N693+N694</f>
        <v>4380</v>
      </c>
      <c r="O690" s="93">
        <f ca="1">IF(L690&gt;0,N690*100/L690,0)</f>
        <v>100</v>
      </c>
      <c r="P690" s="93">
        <f ca="1">IF(M690&gt;0,N690*100/M690,0)</f>
        <v>100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4380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IFERROR(__xludf.DUMMYFUNCTION("IMPORTRANGE(""https://docs.google.com/spreadsheets/d/1QqKyyYR6Q21VydFLVH3TRQUabQu_ym0Zz7PgGX0-kHA/edit?usp=sharing"",""แผน!IC60"")"),0)</f>
        <v>0</v>
      </c>
      <c r="J699" s="270">
        <f ca="1">IFERROR(__xludf.DUMMYFUNCTION("IMPORTRANGE(""https://docs.google.com/spreadsheets/d/1XWAQStnk-4SwqDmLtmXYiTMKHgktTP8We1SCoS47DrQ/edit?usp=sharing"",""จัดที่ดิน!BB60"")"),0)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IFERROR(__xludf.DUMMYFUNCTION("IMPORTRANGE(""https://docs.google.com/spreadsheets/d/1QqKyyYR6Q21VydFLVH3TRQUabQu_ym0Zz7PgGX0-kHA/edit?usp=sharing"",""แผน!ID60"")"),0)</f>
        <v>0</v>
      </c>
      <c r="J700" s="270">
        <f ca="1">IFERROR(__xludf.DUMMYFUNCTION("IMPORTRANGE(""https://docs.google.com/spreadsheets/d/1XWAQStnk-4SwqDmLtmXYiTMKHgktTP8We1SCoS47DrQ/edit?usp=sharing"",""จัดที่ดิน!BD60"")"),0)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IFERROR(__xludf.DUMMYFUNCTION("IMPORTRANGE(""https://docs.google.com/spreadsheets/d/1QqKyyYR6Q21VydFLVH3TRQUabQu_ym0Zz7PgGX0-kHA/edit?usp=sharing"",""แผน!IE60"")"),0)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IFERROR(__xludf.DUMMYFUNCTION("IMPORTRANGE(""https://docs.google.com/spreadsheets/d/1QqKyyYR6Q21VydFLVH3TRQUabQu_ym0Zz7PgGX0-kHA/edit?usp=sharing"",""แผน!IF60"")"),0)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/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IFERROR(__xludf.DUMMYFUNCTION("IMPORTRANGE(""https://docs.google.com/spreadsheets/d/1QqKyyYR6Q21VydFLVH3TRQUabQu_ym0Zz7PgGX0-kHA/edit?usp=sharing"",""แผน!II60"")"),34)</f>
        <v>34</v>
      </c>
      <c r="J720" s="270">
        <f ca="1">IFERROR(__xludf.DUMMYFUNCTION("IMPORTRANGE(""https://docs.google.com/spreadsheets/d/1XWAQStnk-4SwqDmLtmXYiTMKHgktTP8We1SCoS47DrQ/edit?usp=sharing"",""จัดที่ดิน!BH60"")"),0)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IFERROR(__xludf.DUMMYFUNCTION("IMPORTRANGE(""https://docs.google.com/spreadsheets/d/1QqKyyYR6Q21VydFLVH3TRQUabQu_ym0Zz7PgGX0-kHA/edit?usp=sharing"",""แผน!IJ60"")"),3)</f>
        <v>3</v>
      </c>
      <c r="J721" s="676">
        <f ca="1">J723+J726</f>
        <v>15</v>
      </c>
      <c r="K721" s="195">
        <f t="shared" ca="1" si="290"/>
        <v>500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IFERROR(__xludf.DUMMYFUNCTION("IMPORTRANGE(""https://docs.google.com/spreadsheets/d/1QqKyyYR6Q21VydFLVH3TRQUabQu_ym0Zz7PgGX0-kHA/edit?usp=sharing"",""แผน!IK60"")"),40)</f>
        <v>40</v>
      </c>
      <c r="J722" s="676">
        <f ca="1">J725+J728</f>
        <v>85.87</v>
      </c>
      <c r="K722" s="195">
        <f t="shared" ca="1" si="290"/>
        <v>214.67500000000001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IFERROR(__xludf.DUMMYFUNCTION("IMPORTRANGE(""https://docs.google.com/spreadsheets/d/1QqKyyYR6Q21VydFLVH3TRQUabQu_ym0Zz7PgGX0-kHA/edit?usp=sharing"",""แผน!IL60"")"),2)</f>
        <v>2</v>
      </c>
      <c r="J723" s="270">
        <f ca="1">IFERROR(__xludf.DUMMYFUNCTION("IMPORTRANGE(""https://docs.google.com/spreadsheets/d/1XWAQStnk-4SwqDmLtmXYiTMKHgktTP8We1SCoS47DrQ/edit?usp=sharing"",""จัดที่ดิน!BM60"")"),4)</f>
        <v>4</v>
      </c>
      <c r="K723" s="497">
        <f t="shared" ca="1" si="290"/>
        <v>200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IFERROR(__xludf.DUMMYFUNCTION("IMPORTRANGE(""https://docs.google.com/spreadsheets/d/1XWAQStnk-4SwqDmLtmXYiTMKHgktTP8We1SCoS47DrQ/edit?usp=sharing"",""จัดที่ดิน!BN60"")"),4)</f>
        <v>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IFERROR(__xludf.DUMMYFUNCTION("IMPORTRANGE(""https://docs.google.com/spreadsheets/d/1QqKyyYR6Q21VydFLVH3TRQUabQu_ym0Zz7PgGX0-kHA/edit?usp=sharing"",""แผน!IM60"")"),20)</f>
        <v>20</v>
      </c>
      <c r="J725" s="270">
        <f ca="1">IFERROR(__xludf.DUMMYFUNCTION("IMPORTRANGE(""https://docs.google.com/spreadsheets/d/1XWAQStnk-4SwqDmLtmXYiTMKHgktTP8We1SCoS47DrQ/edit?usp=sharing"",""จัดที่ดิน!BO60"")"),48.86)</f>
        <v>48.86</v>
      </c>
      <c r="K725" s="497">
        <f t="shared" ref="K725:K726" ca="1" si="291">IF(I725&gt;0,J725*100/I725,0)</f>
        <v>244.3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IFERROR(__xludf.DUMMYFUNCTION("IMPORTRANGE(""https://docs.google.com/spreadsheets/d/1QqKyyYR6Q21VydFLVH3TRQUabQu_ym0Zz7PgGX0-kHA/edit?usp=sharing"",""แผน!IN60"")"),1)</f>
        <v>1</v>
      </c>
      <c r="J726" s="270">
        <f ca="1">IFERROR(__xludf.DUMMYFUNCTION("IMPORTRANGE(""https://docs.google.com/spreadsheets/d/1XWAQStnk-4SwqDmLtmXYiTMKHgktTP8We1SCoS47DrQ/edit?usp=sharing"",""จัดที่ดิน!BR60"")"),11)</f>
        <v>11</v>
      </c>
      <c r="K726" s="497">
        <f t="shared" ca="1" si="291"/>
        <v>1100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IFERROR(__xludf.DUMMYFUNCTION("IMPORTRANGE(""https://docs.google.com/spreadsheets/d/1XWAQStnk-4SwqDmLtmXYiTMKHgktTP8We1SCoS47DrQ/edit?usp=sharing"",""จัดที่ดิน!BS60"")"),13)</f>
        <v>13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IFERROR(__xludf.DUMMYFUNCTION("IMPORTRANGE(""https://docs.google.com/spreadsheets/d/1QqKyyYR6Q21VydFLVH3TRQUabQu_ym0Zz7PgGX0-kHA/edit?usp=sharing"",""แผน!IO60"")"),20)</f>
        <v>20</v>
      </c>
      <c r="J728" s="270">
        <f ca="1">IFERROR(__xludf.DUMMYFUNCTION("IMPORTRANGE(""https://docs.google.com/spreadsheets/d/1XWAQStnk-4SwqDmLtmXYiTMKHgktTP8We1SCoS47DrQ/edit?usp=sharing"",""จัดที่ดิน!BT60"")"),37.01)</f>
        <v>37.01</v>
      </c>
      <c r="K728" s="497">
        <f t="shared" ref="K728:K729" ca="1" si="292">IF(I728&gt;0,J728*100/I728,0)</f>
        <v>185.05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IFERROR(__xludf.DUMMYFUNCTION("IMPORTRANGE(""https://docs.google.com/spreadsheets/d/1QqKyyYR6Q21VydFLVH3TRQUabQu_ym0Zz7PgGX0-kHA/edit?usp=sharing"",""แผน!JN60"")"),0)</f>
        <v>0</v>
      </c>
      <c r="J800" s="184">
        <f ca="1">IFERROR(__xludf.DUMMYFUNCTION("IMPORTRANGE(""https://docs.google.com/spreadsheets/d/1MaWodYyGHDf7siQLGxnXhG4mBNTNIuy296niS2xXulU/edit?usp=sharing"",""RTK!H60"")"),0)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70">
        <f ca="1">IFERROR(__xludf.DUMMYFUNCTION("IMPORTRANGE(""https://docs.google.com/spreadsheets/d/19vJNZY_5yjcGF2XGBMNZRCAIB0Kwfpjp8YEOfu-bneM/edit?usp=sharing"",""งานกองทุน!F60"")"),2009304.87)</f>
        <v>2009304.87</v>
      </c>
      <c r="K821" s="497">
        <f t="shared" ref="K821:K828" ca="1" si="334">IF(I821&gt;0,J821*100/I821,0)</f>
        <v>67.988820611753951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IFERROR(__xludf.DUMMYFUNCTION("IMPORTRANGE(""https://docs.google.com/spreadsheets/d/19vJNZY_5yjcGF2XGBMNZRCAIB0Kwfpjp8YEOfu-bneM/edit?usp=sharing"",""งานกองทุน!C60"")"),67)</f>
        <v>67</v>
      </c>
      <c r="J822" s="270">
        <f ca="1">IFERROR(__xludf.DUMMYFUNCTION("IMPORTRANGE(""https://docs.google.com/spreadsheets/d/19vJNZY_5yjcGF2XGBMNZRCAIB0Kwfpjp8YEOfu-bneM/edit?usp=sharing"",""งานกองทุน!E60"")"),54)</f>
        <v>54</v>
      </c>
      <c r="K822" s="497">
        <f t="shared" ca="1" si="334"/>
        <v>80.597014925373131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70">
        <f ca="1">IFERROR(__xludf.DUMMYFUNCTION("IMPORTRANGE(""https://docs.google.com/spreadsheets/d/19vJNZY_5yjcGF2XGBMNZRCAIB0Kwfpjp8YEOfu-bneM/edit?usp=sharing"",""งานกองทุน!K60"")"),261078.68)</f>
        <v>261078.68</v>
      </c>
      <c r="K823" s="497">
        <f t="shared" ca="1" si="334"/>
        <v>51.195544968919059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IFERROR(__xludf.DUMMYFUNCTION("IMPORTRANGE(""https://docs.google.com/spreadsheets/d/19vJNZY_5yjcGF2XGBMNZRCAIB0Kwfpjp8YEOfu-bneM/edit?usp=sharing"",""งานกองทุน!H60"")"),22)</f>
        <v>22</v>
      </c>
      <c r="J824" s="270">
        <f ca="1">IFERROR(__xludf.DUMMYFUNCTION("IMPORTRANGE(""https://docs.google.com/spreadsheets/d/19vJNZY_5yjcGF2XGBMNZRCAIB0Kwfpjp8YEOfu-bneM/edit?usp=sharing"",""งานกองทุน!J60"")"),22)</f>
        <v>22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70">
        <f ca="1">IFERROR(__xludf.DUMMYFUNCTION("IMPORTRANGE(""https://docs.google.com/spreadsheets/d/19vJNZY_5yjcGF2XGBMNZRCAIB0Kwfpjp8YEOfu-bneM/edit?usp=sharing"",""งานกองทุน!P60"")"),277587.94)</f>
        <v>277587.94</v>
      </c>
      <c r="K825" s="497">
        <f t="shared" ca="1" si="334"/>
        <v>56.761507351772927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IFERROR(__xludf.DUMMYFUNCTION("IMPORTRANGE(""https://docs.google.com/spreadsheets/d/19vJNZY_5yjcGF2XGBMNZRCAIB0Kwfpjp8YEOfu-bneM/edit?usp=sharing"",""งานกองทุน!M60"")"),259)</f>
        <v>259</v>
      </c>
      <c r="J826" s="270">
        <f ca="1">IFERROR(__xludf.DUMMYFUNCTION("IMPORTRANGE(""https://docs.google.com/spreadsheets/d/19vJNZY_5yjcGF2XGBMNZRCAIB0Kwfpjp8YEOfu-bneM/edit?usp=sharing"",""งานกองทุน!O60"")"),216)</f>
        <v>216</v>
      </c>
      <c r="K826" s="497">
        <f t="shared" ca="1" si="334"/>
        <v>83.397683397683394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IFERROR(__xludf.DUMMYFUNCTION("IMPORTRANGE(""https://docs.google.com/spreadsheets/d/19vJNZY_5yjcGF2XGBMNZRCAIB0Kwfpjp8YEOfu-bneM/edit?usp=sharing"",""งานกองทุน!S60"")"),3060000)</f>
        <v>3060000</v>
      </c>
      <c r="J827" s="270">
        <f ca="1">IFERROR(__xludf.DUMMYFUNCTION("IMPORTRANGE(""https://docs.google.com/spreadsheets/d/19vJNZY_5yjcGF2XGBMNZRCAIB0Kwfpjp8YEOfu-bneM/edit?usp=sharing"",""งานกองทุน!U60"")"),1870000)</f>
        <v>1870000</v>
      </c>
      <c r="K827" s="497">
        <f t="shared" ca="1" si="334"/>
        <v>61.111111111111114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IFERROR(__xludf.DUMMYFUNCTION("IMPORTRANGE(""https://docs.google.com/spreadsheets/d/19vJNZY_5yjcGF2XGBMNZRCAIB0Kwfpjp8YEOfu-bneM/edit?usp=sharing"",""งานกองทุน!R60"")"),99)</f>
        <v>99</v>
      </c>
      <c r="J828" s="501">
        <f ca="1">IFERROR(__xludf.DUMMYFUNCTION("IMPORTRANGE(""https://docs.google.com/spreadsheets/d/19vJNZY_5yjcGF2XGBMNZRCAIB0Kwfpjp8YEOfu-bneM/edit?usp=sharing"",""งานกองทุน!T60"")"),38)</f>
        <v>38</v>
      </c>
      <c r="K828" s="502">
        <f t="shared" ca="1" si="334"/>
        <v>38.383838383838381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822C-11C6-4400-A471-D9950DF94068}">
  <sheetPr codeName="Sheet10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347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3109040</v>
      </c>
      <c r="M8" s="22">
        <f t="shared" ca="1" si="0"/>
        <v>3165417.4</v>
      </c>
      <c r="N8" s="22">
        <f t="shared" ca="1" si="0"/>
        <v>2468919.41</v>
      </c>
      <c r="O8" s="22">
        <f t="shared" ref="O8:O16" ca="1" si="1">IF(L8&gt;0,N8*100/L8,0)</f>
        <v>79.410988922625634</v>
      </c>
      <c r="P8" s="22">
        <f t="shared" ref="P8:P16" ca="1" si="2">IF(M8&gt;0,N8*100/M8,0)</f>
        <v>77.99664619269484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3109040</v>
      </c>
      <c r="M10" s="30">
        <f t="shared" ca="1" si="3"/>
        <v>3165417.4</v>
      </c>
      <c r="N10" s="30">
        <f t="shared" ca="1" si="3"/>
        <v>2468919.41</v>
      </c>
      <c r="O10" s="30">
        <f t="shared" ca="1" si="1"/>
        <v>79.410988922625634</v>
      </c>
      <c r="P10" s="30">
        <f t="shared" ca="1" si="2"/>
        <v>77.99664619269484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2995240</v>
      </c>
      <c r="M11" s="497">
        <f t="shared" ca="1" si="4"/>
        <v>3051617.4</v>
      </c>
      <c r="N11" s="497">
        <f t="shared" ca="1" si="4"/>
        <v>2355119.41</v>
      </c>
      <c r="O11" s="497">
        <f t="shared" ca="1" si="1"/>
        <v>78.628737930850278</v>
      </c>
      <c r="P11" s="497">
        <f t="shared" ca="1" si="2"/>
        <v>77.176103727813327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2995240</v>
      </c>
      <c r="M13" s="93">
        <f t="shared" ca="1" si="5"/>
        <v>3051617.4</v>
      </c>
      <c r="N13" s="93">
        <f t="shared" ca="1" si="5"/>
        <v>2355119.41</v>
      </c>
      <c r="O13" s="93">
        <f t="shared" ca="1" si="1"/>
        <v>78.628737930850278</v>
      </c>
      <c r="P13" s="93">
        <f t="shared" ca="1" si="2"/>
        <v>77.176103727813327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2819170</v>
      </c>
      <c r="M18" s="22">
        <f t="shared" ca="1" si="8"/>
        <v>2875547.4</v>
      </c>
      <c r="N18" s="22">
        <f t="shared" ca="1" si="8"/>
        <v>2310554.41</v>
      </c>
      <c r="O18" s="22">
        <f t="shared" ref="O18:O26" ca="1" si="9">IF(L18&gt;0,N18*100/L18,0)</f>
        <v>81.958676135174542</v>
      </c>
      <c r="P18" s="22">
        <f t="shared" ref="P18:P26" ca="1" si="10">IF(M18&gt;0,N18*100/M18,0)</f>
        <v>80.351810928242742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2819170</v>
      </c>
      <c r="M20" s="30">
        <f t="shared" ca="1" si="11"/>
        <v>2875547.4</v>
      </c>
      <c r="N20" s="30">
        <f t="shared" ca="1" si="11"/>
        <v>2310554.41</v>
      </c>
      <c r="O20" s="30">
        <f t="shared" ca="1" si="9"/>
        <v>81.958676135174542</v>
      </c>
      <c r="P20" s="30">
        <f t="shared" ca="1" si="10"/>
        <v>80.351810928242742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2705370</v>
      </c>
      <c r="M21" s="497">
        <f t="shared" ca="1" si="12"/>
        <v>2761747.4</v>
      </c>
      <c r="N21" s="497">
        <f t="shared" ca="1" si="12"/>
        <v>2196754.41</v>
      </c>
      <c r="O21" s="497">
        <f t="shared" ca="1" si="9"/>
        <v>81.199777109970171</v>
      </c>
      <c r="P21" s="497">
        <f t="shared" ca="1" si="10"/>
        <v>79.542191657354323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2705370</v>
      </c>
      <c r="M23" s="93">
        <f t="shared" ca="1" si="13"/>
        <v>2761747.4</v>
      </c>
      <c r="N23" s="93">
        <f t="shared" ca="1" si="13"/>
        <v>2196754.41</v>
      </c>
      <c r="O23" s="93">
        <f t="shared" ca="1" si="9"/>
        <v>81.199777109970171</v>
      </c>
      <c r="P23" s="93">
        <f t="shared" ca="1" si="10"/>
        <v>79.542191657354323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289870</v>
      </c>
      <c r="M28" s="22">
        <f t="shared" ca="1" si="16"/>
        <v>289870</v>
      </c>
      <c r="N28" s="22">
        <f t="shared" si="16"/>
        <v>158365</v>
      </c>
      <c r="O28" s="22">
        <f t="shared" ref="O28:O37" ca="1" si="17">IF(L28&gt;0,N28*100/L28,0)</f>
        <v>54.633111394763169</v>
      </c>
      <c r="P28" s="22">
        <f t="shared" ref="P28:P37" ca="1" si="18">IF(M28&gt;0,N28*100/M28,0)</f>
        <v>54.633111394763169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289870</v>
      </c>
      <c r="M30" s="30">
        <f t="shared" ca="1" si="19"/>
        <v>289870</v>
      </c>
      <c r="N30" s="30">
        <f t="shared" si="19"/>
        <v>158365</v>
      </c>
      <c r="O30" s="30">
        <f t="shared" ca="1" si="17"/>
        <v>54.633111394763169</v>
      </c>
      <c r="P30" s="30">
        <f t="shared" ca="1" si="18"/>
        <v>54.633111394763169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289870</v>
      </c>
      <c r="M31" s="497">
        <f t="shared" ca="1" si="20"/>
        <v>289870</v>
      </c>
      <c r="N31" s="497">
        <f t="shared" si="20"/>
        <v>158365</v>
      </c>
      <c r="O31" s="497">
        <f t="shared" ca="1" si="17"/>
        <v>54.633111394763169</v>
      </c>
      <c r="P31" s="497">
        <f t="shared" ca="1" si="18"/>
        <v>54.633111394763169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289870</v>
      </c>
      <c r="M33" s="93">
        <f t="shared" ca="1" si="21"/>
        <v>289870</v>
      </c>
      <c r="N33" s="93">
        <f t="shared" si="21"/>
        <v>158365</v>
      </c>
      <c r="O33" s="93">
        <f t="shared" ca="1" si="17"/>
        <v>54.633111394763169</v>
      </c>
      <c r="P33" s="93">
        <f t="shared" ca="1" si="18"/>
        <v>54.633111394763169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2819170</v>
      </c>
      <c r="M37" s="59">
        <f t="shared" ca="1" si="24"/>
        <v>2875547.4</v>
      </c>
      <c r="N37" s="59">
        <f t="shared" ca="1" si="24"/>
        <v>2310554.41</v>
      </c>
      <c r="O37" s="59">
        <f t="shared" ca="1" si="17"/>
        <v>81.958676135174542</v>
      </c>
      <c r="P37" s="59">
        <f t="shared" ca="1" si="18"/>
        <v>80.351810928242742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457800</v>
      </c>
      <c r="M41" s="85">
        <f t="shared" ca="1" si="25"/>
        <v>473867.4</v>
      </c>
      <c r="N41" s="85">
        <f t="shared" ca="1" si="25"/>
        <v>436029.34</v>
      </c>
      <c r="O41" s="85">
        <f t="shared" ref="O41:O49" ca="1" si="26">IF(L41&gt;0,N41*100/L41,0)</f>
        <v>95.244504150283973</v>
      </c>
      <c r="P41" s="85">
        <f t="shared" ref="P41:P49" ca="1" si="27">IF(M41&gt;0,N41*100/M41,0)</f>
        <v>92.015053156220489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457800</v>
      </c>
      <c r="M43" s="92">
        <f t="shared" ca="1" si="28"/>
        <v>473867.4</v>
      </c>
      <c r="N43" s="92">
        <f t="shared" ca="1" si="28"/>
        <v>436029.34</v>
      </c>
      <c r="O43" s="92">
        <f t="shared" ca="1" si="26"/>
        <v>95.244504150283973</v>
      </c>
      <c r="P43" s="92">
        <f t="shared" ca="1" si="27"/>
        <v>92.015053156220489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457800</v>
      </c>
      <c r="M44" s="497">
        <f t="shared" ca="1" si="29"/>
        <v>473867.4</v>
      </c>
      <c r="N44" s="497">
        <f t="shared" ca="1" si="29"/>
        <v>436029.34</v>
      </c>
      <c r="O44" s="497">
        <f t="shared" ca="1" si="26"/>
        <v>95.244504150283973</v>
      </c>
      <c r="P44" s="497">
        <f t="shared" ca="1" si="27"/>
        <v>92.015053156220489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IFERROR(__xludf.DUMMYFUNCTION("IMPORTRANGE(""https://docs.google.com/spreadsheets/d/1MeEWN-I1oV_STSDYn1IFDPWt_1FKiwhDph83XaGc0o0/edit?usp=sharing"",""งบพรบ!M61"")"),457800)</f>
        <v>457800</v>
      </c>
      <c r="M46" s="93">
        <f ca="1">IFERROR(__xludf.DUMMYFUNCTION("IMPORTRANGE(""https://docs.google.com/spreadsheets/d/1MeEWN-I1oV_STSDYn1IFDPWt_1FKiwhDph83XaGc0o0/edit?usp=sharing"",""งบพรบ!R61"")"),473867.4)</f>
        <v>473867.4</v>
      </c>
      <c r="N46" s="93">
        <f ca="1">IFERROR(__xludf.DUMMYFUNCTION("IMPORTRANGE(""https://docs.google.com/spreadsheets/d/1MeEWN-I1oV_STSDYn1IFDPWt_1FKiwhDph83XaGc0o0/edit?usp=sharing"",""งบพรบ!T61"")"),436029.34)</f>
        <v>436029.34</v>
      </c>
      <c r="O46" s="93">
        <f t="shared" ca="1" si="26"/>
        <v>95.244504150283973</v>
      </c>
      <c r="P46" s="93">
        <f t="shared" ca="1" si="27"/>
        <v>92.015053156220489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IFERROR(__xludf.DUMMYFUNCTION("IMPORTRANGE(""https://docs.google.com/spreadsheets/d/1MeEWN-I1oV_STSDYn1IFDPWt_1FKiwhDph83XaGc0o0/edit?usp=sharing"",""งบพรบ!P61"")"),0)</f>
        <v>0</v>
      </c>
      <c r="M49" s="52">
        <f ca="1">IFERROR(__xludf.DUMMYFUNCTION("IMPORTRANGE(""https://docs.google.com/spreadsheets/d/1MeEWN-I1oV_STSDYn1IFDPWt_1FKiwhDph83XaGc0o0/edit?usp=sharing"",""งบพรบ!S61"")"),0)</f>
        <v>0</v>
      </c>
      <c r="N49" s="52">
        <f ca="1">IFERROR(__xludf.DUMMYFUNCTION("IMPORTRANGE(""https://docs.google.com/spreadsheets/d/1MeEWN-I1oV_STSDYn1IFDPWt_1FKiwhDph83XaGc0o0/edit?usp=sharing"",""งบพรบ!U61"")"),0)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663500</v>
      </c>
      <c r="M53" s="116">
        <f t="shared" ca="1" si="31"/>
        <v>664400</v>
      </c>
      <c r="N53" s="116">
        <f t="shared" ca="1" si="31"/>
        <v>591927.77</v>
      </c>
      <c r="O53" s="116">
        <f t="shared" ref="O53:O61" ca="1" si="32">IF(L53&gt;0,N53*100/L53,0)</f>
        <v>89.21292690278824</v>
      </c>
      <c r="P53" s="116">
        <f t="shared" ref="P53:P61" ca="1" si="33">IF(M53&gt;0,N53*100/M53,0)</f>
        <v>89.09207856712824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663500</v>
      </c>
      <c r="M55" s="123">
        <f t="shared" ca="1" si="34"/>
        <v>664400</v>
      </c>
      <c r="N55" s="123">
        <f t="shared" ca="1" si="34"/>
        <v>591927.77</v>
      </c>
      <c r="O55" s="123">
        <f t="shared" ca="1" si="32"/>
        <v>89.21292690278824</v>
      </c>
      <c r="P55" s="123">
        <f t="shared" ca="1" si="33"/>
        <v>89.09207856712824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663500</v>
      </c>
      <c r="M56" s="497">
        <f t="shared" ca="1" si="35"/>
        <v>664400</v>
      </c>
      <c r="N56" s="497">
        <f t="shared" ca="1" si="35"/>
        <v>591927.77</v>
      </c>
      <c r="O56" s="497">
        <f t="shared" ca="1" si="32"/>
        <v>89.21292690278824</v>
      </c>
      <c r="P56" s="497">
        <f t="shared" ca="1" si="33"/>
        <v>89.09207856712824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IFERROR(__xludf.DUMMYFUNCTION("IMPORTRANGE(""https://docs.google.com/spreadsheets/d/1MeEWN-I1oV_STSDYn1IFDPWt_1FKiwhDph83XaGc0o0/edit?usp=sharing"",""งบพรบ!W61"")"),663500)</f>
        <v>663500</v>
      </c>
      <c r="M58" s="93">
        <f ca="1">IFERROR(__xludf.DUMMYFUNCTION("IMPORTRANGE(""https://docs.google.com/spreadsheets/d/1MeEWN-I1oV_STSDYn1IFDPWt_1FKiwhDph83XaGc0o0/edit?usp=sharing"",""งบพรบ!AB61"")"),664400)</f>
        <v>664400</v>
      </c>
      <c r="N58" s="93">
        <f ca="1">IFERROR(__xludf.DUMMYFUNCTION("IMPORTRANGE(""https://docs.google.com/spreadsheets/d/1MeEWN-I1oV_STSDYn1IFDPWt_1FKiwhDph83XaGc0o0/edit?usp=sharing"",""งบพรบ!AD61"")"),591927.77)</f>
        <v>591927.77</v>
      </c>
      <c r="O58" s="93">
        <f t="shared" ca="1" si="32"/>
        <v>89.21292690278824</v>
      </c>
      <c r="P58" s="93">
        <f t="shared" ca="1" si="33"/>
        <v>89.09207856712824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IFERROR(__xludf.DUMMYFUNCTION("IMPORTRANGE(""https://docs.google.com/spreadsheets/d/1MeEWN-I1oV_STSDYn1IFDPWt_1FKiwhDph83XaGc0o0/edit?usp=sharing"",""งบพรบ!Z61"")"),0)</f>
        <v>0</v>
      </c>
      <c r="M61" s="52">
        <f ca="1">IFERROR(__xludf.DUMMYFUNCTION("IMPORTRANGE(""https://docs.google.com/spreadsheets/d/1MeEWN-I1oV_STSDYn1IFDPWt_1FKiwhDph83XaGc0o0/edit?usp=sharing"",""งบพรบ!AC61"")"),0)</f>
        <v>0</v>
      </c>
      <c r="N61" s="52">
        <f ca="1">IFERROR(__xludf.DUMMYFUNCTION("IMPORTRANGE(""https://docs.google.com/spreadsheets/d/1MeEWN-I1oV_STSDYn1IFDPWt_1FKiwhDph83XaGc0o0/edit?usp=sharing"",""งบพรบ!AE61"")"),0)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IFERROR(__xludf.DUMMYFUNCTION("IMPORTRANGE(""https://docs.google.com/spreadsheets/d/1MeEWN-I1oV_STSDYn1IFDPWt_1FKiwhDph83XaGc0o0/edit?usp=sharing"",""งบพรบ!AG61"")"),0)</f>
        <v>0</v>
      </c>
      <c r="M71" s="93">
        <f ca="1">IFERROR(__xludf.DUMMYFUNCTION("IMPORTRANGE(""https://docs.google.com/spreadsheets/d/1MeEWN-I1oV_STSDYn1IFDPWt_1FKiwhDph83XaGc0o0/edit?usp=sharing"",""งบพรบ!AL61"")"),0)</f>
        <v>0</v>
      </c>
      <c r="N71" s="93">
        <f ca="1">IFERROR(__xludf.DUMMYFUNCTION("IMPORTRANGE(""https://docs.google.com/spreadsheets/d/1MeEWN-I1oV_STSDYn1IFDPWt_1FKiwhDph83XaGc0o0/edit?usp=sharing"",""งบพรบ!AN61"")"),0)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IFERROR(__xludf.DUMMYFUNCTION("IMPORTRANGE(""https://docs.google.com/spreadsheets/d/1MeEWN-I1oV_STSDYn1IFDPWt_1FKiwhDph83XaGc0o0/edit?usp=sharing"",""งบพรบ!AJ61"")"),0)</f>
        <v>0</v>
      </c>
      <c r="M74" s="93">
        <f ca="1">IFERROR(__xludf.DUMMYFUNCTION("IMPORTRANGE(""https://docs.google.com/spreadsheets/d/1MeEWN-I1oV_STSDYn1IFDPWt_1FKiwhDph83XaGc0o0/edit?usp=sharing"",""งบพรบ!AM61"")"),0)</f>
        <v>0</v>
      </c>
      <c r="N74" s="93">
        <f ca="1">IFERROR(__xludf.DUMMYFUNCTION("IMPORTRANGE(""https://docs.google.com/spreadsheets/d/1MeEWN-I1oV_STSDYn1IFDPWt_1FKiwhDph83XaGc0o0/edit?usp=sharing"",""งบพรบ!AO61"")"),0)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70750</v>
      </c>
      <c r="O88" s="155">
        <f t="shared" ref="O88:O96" ca="1" si="50">IF(L88&gt;0,N88*100/L88,0)</f>
        <v>82.22919572291957</v>
      </c>
      <c r="P88" s="155">
        <f t="shared" ref="P88:P96" ca="1" si="51">IF(M88&gt;0,N88*100/M88,0)</f>
        <v>82.22919572291957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70750</v>
      </c>
      <c r="O90" s="93">
        <f t="shared" ca="1" si="50"/>
        <v>82.22919572291957</v>
      </c>
      <c r="P90" s="93">
        <f t="shared" ca="1" si="51"/>
        <v>82.22919572291957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86040</v>
      </c>
      <c r="N91" s="497">
        <f t="shared" ca="1" si="53"/>
        <v>70750</v>
      </c>
      <c r="O91" s="497">
        <f t="shared" ca="1" si="50"/>
        <v>82.22919572291957</v>
      </c>
      <c r="P91" s="497">
        <f t="shared" ca="1" si="51"/>
        <v>82.22919572291957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IFERROR(__xludf.DUMMYFUNCTION("IMPORTRANGE(""https://docs.google.com/spreadsheets/d/1MeEWN-I1oV_STSDYn1IFDPWt_1FKiwhDph83XaGc0o0/edit?usp=sharing"",""งบพรบ!AQ61"")"),86040)</f>
        <v>86040</v>
      </c>
      <c r="M93" s="93">
        <f ca="1">IFERROR(__xludf.DUMMYFUNCTION("IMPORTRANGE(""https://docs.google.com/spreadsheets/d/1MeEWN-I1oV_STSDYn1IFDPWt_1FKiwhDph83XaGc0o0/edit?usp=sharing"",""งบพรบ!AV61"")"),86040)</f>
        <v>86040</v>
      </c>
      <c r="N93" s="93">
        <f ca="1">IFERROR(__xludf.DUMMYFUNCTION("IMPORTRANGE(""https://docs.google.com/spreadsheets/d/1MeEWN-I1oV_STSDYn1IFDPWt_1FKiwhDph83XaGc0o0/edit?usp=sharing"",""งบพรบ!AX61"")"),70750)</f>
        <v>70750</v>
      </c>
      <c r="O93" s="93">
        <f t="shared" ca="1" si="50"/>
        <v>82.22919572291957</v>
      </c>
      <c r="P93" s="93">
        <f t="shared" ca="1" si="51"/>
        <v>82.22919572291957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IFERROR(__xludf.DUMMYFUNCTION("IMPORTRANGE(""https://docs.google.com/spreadsheets/d/1MeEWN-I1oV_STSDYn1IFDPWt_1FKiwhDph83XaGc0o0/edit?usp=sharing"",""งบพรบ!AT61"")"),0)</f>
        <v>0</v>
      </c>
      <c r="M96" s="93">
        <f ca="1">IFERROR(__xludf.DUMMYFUNCTION("IMPORTRANGE(""https://docs.google.com/spreadsheets/d/1MeEWN-I1oV_STSDYn1IFDPWt_1FKiwhDph83XaGc0o0/edit?usp=sharing"",""งบพรบ!AW61"")"),0)</f>
        <v>0</v>
      </c>
      <c r="N96" s="93">
        <f ca="1">IFERROR(__xludf.DUMMYFUNCTION("IMPORTRANGE(""https://docs.google.com/spreadsheets/d/1MeEWN-I1oV_STSDYn1IFDPWt_1FKiwhDph83XaGc0o0/edit?usp=sharing"",""งบพรบ!AY61"")"),0)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IFERROR(__xludf.DUMMYFUNCTION("IMPORTRANGE(""https://docs.google.com/spreadsheets/d/1QqKyyYR6Q21VydFLVH3TRQUabQu_ym0Zz7PgGX0-kHA/edit?usp=sharing"",""แผน!K61"")"),30)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IFERROR(__xludf.DUMMYFUNCTION("IMPORTRANGE(""https://docs.google.com/spreadsheets/d/1QqKyyYR6Q21VydFLVH3TRQUabQu_ym0Zz7PgGX0-kHA/edit?usp=sharing"",""แผน!L61"")"),10)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IFERROR(__xludf.DUMMYFUNCTION("IMPORTRANGE(""https://docs.google.com/spreadsheets/d/1QqKyyYR6Q21VydFLVH3TRQUabQu_ym0Zz7PgGX0-kHA/edit?usp=sharing"",""แผน!M61"")"),2)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IFERROR(__xludf.DUMMYFUNCTION("IMPORTRANGE(""https://docs.google.com/spreadsheets/d/1QqKyyYR6Q21VydFLVH3TRQUabQu_ym0Zz7PgGX0-kHA/edit?usp=sharing"",""แผน!N61"")"),30)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IFERROR(__xludf.DUMMYFUNCTION("IMPORTRANGE(""https://docs.google.com/spreadsheets/d/1QqKyyYR6Q21VydFLVH3TRQUabQu_ym0Zz7PgGX0-kHA/edit?usp=sharing"",""แผน!O61"")"),10)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IFERROR(__xludf.DUMMYFUNCTION("IMPORTRANGE(""https://docs.google.com/spreadsheets/d/1QqKyyYR6Q21VydFLVH3TRQUabQu_ym0Zz7PgGX0-kHA/edit?usp=sharing"",""แผน!O61"")"),10)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IFERROR(__xludf.DUMMYFUNCTION("IMPORTRANGE(""https://docs.google.com/spreadsheets/d/1QqKyyYR6Q21VydFLVH3TRQUabQu_ym0Zz7PgGX0-kHA/edit?usp=sharing"",""แผน!R61"")"),10)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IFERROR(__xludf.DUMMYFUNCTION("IMPORTRANGE(""https://docs.google.com/spreadsheets/d/1QqKyyYR6Q21VydFLVH3TRQUabQu_ym0Zz7PgGX0-kHA/edit?usp=sharing"",""แผน!R61"")"),10)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IFERROR(__xludf.DUMMYFUNCTION("IMPORTRANGE(""https://docs.google.com/spreadsheets/d/1QqKyyYR6Q21VydFLVH3TRQUabQu_ym0Zz7PgGX0-kHA/edit?usp=sharing"",""แผน!R61"")"),10)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IFERROR(__xludf.DUMMYFUNCTION("IMPORTRANGE(""https://docs.google.com/spreadsheets/d/1MeEWN-I1oV_STSDYn1IFDPWt_1FKiwhDph83XaGc0o0/edit?usp=sharing"",""งบพรบ!BA61"")"),0)</f>
        <v>0</v>
      </c>
      <c r="M124" s="93">
        <f ca="1">IFERROR(__xludf.DUMMYFUNCTION("IMPORTRANGE(""https://docs.google.com/spreadsheets/d/1MeEWN-I1oV_STSDYn1IFDPWt_1FKiwhDph83XaGc0o0/edit?usp=sharing"",""งบพรบ!BF61"")"),0)</f>
        <v>0</v>
      </c>
      <c r="N124" s="93">
        <f ca="1">IFERROR(__xludf.DUMMYFUNCTION("IMPORTRANGE(""https://docs.google.com/spreadsheets/d/1MeEWN-I1oV_STSDYn1IFDPWt_1FKiwhDph83XaGc0o0/edit?usp=sharing"",""งบพรบ!BH61"")"),0)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IFERROR(__xludf.DUMMYFUNCTION("IMPORTRANGE(""https://docs.google.com/spreadsheets/d/1MeEWN-I1oV_STSDYn1IFDPWt_1FKiwhDph83XaGc0o0/edit?usp=sharing"",""งบพรบ!BD61"")"),0)</f>
        <v>0</v>
      </c>
      <c r="M127" s="93">
        <f ca="1">IFERROR(__xludf.DUMMYFUNCTION("IMPORTRANGE(""https://docs.google.com/spreadsheets/d/1MeEWN-I1oV_STSDYn1IFDPWt_1FKiwhDph83XaGc0o0/edit?usp=sharing"",""งบพรบ!BG61"")"),0)</f>
        <v>0</v>
      </c>
      <c r="N127" s="93">
        <f ca="1">IFERROR(__xludf.DUMMYFUNCTION("IMPORTRANGE(""https://docs.google.com/spreadsheets/d/1MeEWN-I1oV_STSDYn1IFDPWt_1FKiwhDph83XaGc0o0/edit?usp=sharing"",""งบพรบ!BI61"")"),0)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IFERROR(__xludf.DUMMYFUNCTION("IMPORTRANGE(""https://docs.google.com/spreadsheets/d/1MeEWN-I1oV_STSDYn1IFDPWt_1FKiwhDph83XaGc0o0/edit?usp=sharing"",""งบพรบ!BK61"")"),0)</f>
        <v>0</v>
      </c>
      <c r="M137" s="93">
        <f ca="1">IFERROR(__xludf.DUMMYFUNCTION("IMPORTRANGE(""https://docs.google.com/spreadsheets/d/1MeEWN-I1oV_STSDYn1IFDPWt_1FKiwhDph83XaGc0o0/edit?usp=sharing"",""งบพรบ!BP61"")"),0)</f>
        <v>0</v>
      </c>
      <c r="N137" s="93">
        <f ca="1">IFERROR(__xludf.DUMMYFUNCTION("IMPORTRANGE(""https://docs.google.com/spreadsheets/d/1MeEWN-I1oV_STSDYn1IFDPWt_1FKiwhDph83XaGc0o0/edit?usp=sharing"",""งบพรบ!BR61"")"),0)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IFERROR(__xludf.DUMMYFUNCTION("IMPORTRANGE(""https://docs.google.com/spreadsheets/d/1MeEWN-I1oV_STSDYn1IFDPWt_1FKiwhDph83XaGc0o0/edit?usp=sharing"",""งบพรบ!BN61"")"),0)</f>
        <v>0</v>
      </c>
      <c r="M140" s="93">
        <f ca="1">IFERROR(__xludf.DUMMYFUNCTION("IMPORTRANGE(""https://docs.google.com/spreadsheets/d/1MeEWN-I1oV_STSDYn1IFDPWt_1FKiwhDph83XaGc0o0/edit?usp=sharing"",""งบพรบ!BQ61"")"),0)</f>
        <v>0</v>
      </c>
      <c r="N140" s="93">
        <f ca="1">IFERROR(__xludf.DUMMYFUNCTION("IMPORTRANGE(""https://docs.google.com/spreadsheets/d/1MeEWN-I1oV_STSDYn1IFDPWt_1FKiwhDph83XaGc0o0/edit?usp=sharing"",""งบพรบ!BS61"")"),0)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IFERROR(__xludf.DUMMYFUNCTION("IMPORTRANGE(""https://docs.google.com/spreadsheets/d/1MeEWN-I1oV_STSDYn1IFDPWt_1FKiwhDph83XaGc0o0/edit?usp=sharing"",""งบพรบ!BU61"")"),0)</f>
        <v>0</v>
      </c>
      <c r="M154" s="93">
        <f ca="1">IFERROR(__xludf.DUMMYFUNCTION("IMPORTRANGE(""https://docs.google.com/spreadsheets/d/1MeEWN-I1oV_STSDYn1IFDPWt_1FKiwhDph83XaGc0o0/edit?usp=sharing"",""งบพรบ!BZ61"")"),0)</f>
        <v>0</v>
      </c>
      <c r="N154" s="93">
        <f ca="1">IFERROR(__xludf.DUMMYFUNCTION("IMPORTRANGE(""https://docs.google.com/spreadsheets/d/1MeEWN-I1oV_STSDYn1IFDPWt_1FKiwhDph83XaGc0o0/edit?usp=sharing"",""งบพรบ!CB61"")"),0)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IFERROR(__xludf.DUMMYFUNCTION("IMPORTRANGE(""https://docs.google.com/spreadsheets/d/1MeEWN-I1oV_STSDYn1IFDPWt_1FKiwhDph83XaGc0o0/edit?usp=sharing"",""งบพรบ!BX61"")"),0)</f>
        <v>0</v>
      </c>
      <c r="M157" s="93">
        <f ca="1">IFERROR(__xludf.DUMMYFUNCTION("IMPORTRANGE(""https://docs.google.com/spreadsheets/d/1MeEWN-I1oV_STSDYn1IFDPWt_1FKiwhDph83XaGc0o0/edit?usp=sharing"",""งบพรบ!CA61"")"),0)</f>
        <v>0</v>
      </c>
      <c r="N157" s="93">
        <f ca="1">IFERROR(__xludf.DUMMYFUNCTION("IMPORTRANGE(""https://docs.google.com/spreadsheets/d/1MeEWN-I1oV_STSDYn1IFDPWt_1FKiwhDph83XaGc0o0/edit?usp=sharing"",""งบพรบ!CC61"")"),0)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30690</v>
      </c>
      <c r="N165" s="155">
        <f t="shared" ca="1" si="84"/>
        <v>30690</v>
      </c>
      <c r="O165" s="155">
        <f t="shared" ref="O165:O173" ca="1" si="85">IF(L165&gt;0,N165*100/L165,0)</f>
        <v>145.79572446555821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30690</v>
      </c>
      <c r="N167" s="93">
        <f t="shared" ca="1" si="87"/>
        <v>30690</v>
      </c>
      <c r="O167" s="93">
        <f t="shared" ca="1" si="85"/>
        <v>145.79572446555821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30690</v>
      </c>
      <c r="N168" s="497">
        <f t="shared" ca="1" si="88"/>
        <v>30690</v>
      </c>
      <c r="O168" s="497">
        <f t="shared" ca="1" si="85"/>
        <v>145.79572446555821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IFERROR(__xludf.DUMMYFUNCTION("IMPORTRANGE(""https://docs.google.com/spreadsheets/d/1MeEWN-I1oV_STSDYn1IFDPWt_1FKiwhDph83XaGc0o0/edit?usp=sharing"",""งบพรบ!CE61"")"),21050)</f>
        <v>21050</v>
      </c>
      <c r="M170" s="93">
        <f ca="1">IFERROR(__xludf.DUMMYFUNCTION("IMPORTRANGE(""https://docs.google.com/spreadsheets/d/1MeEWN-I1oV_STSDYn1IFDPWt_1FKiwhDph83XaGc0o0/edit?usp=sharing"",""งบพรบ!CJ61"")"),30690)</f>
        <v>30690</v>
      </c>
      <c r="N170" s="93">
        <f ca="1">IFERROR(__xludf.DUMMYFUNCTION("IMPORTRANGE(""https://docs.google.com/spreadsheets/d/1MeEWN-I1oV_STSDYn1IFDPWt_1FKiwhDph83XaGc0o0/edit?usp=sharing"",""งบพรบ!CL61"")"),30690)</f>
        <v>30690</v>
      </c>
      <c r="O170" s="93">
        <f t="shared" ca="1" si="85"/>
        <v>145.79572446555821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IFERROR(__xludf.DUMMYFUNCTION("IMPORTRANGE(""https://docs.google.com/spreadsheets/d/1MeEWN-I1oV_STSDYn1IFDPWt_1FKiwhDph83XaGc0o0/edit?usp=sharing"",""งบพรบ!CH61"")"),0)</f>
        <v>0</v>
      </c>
      <c r="M173" s="93">
        <f ca="1">IFERROR(__xludf.DUMMYFUNCTION("IMPORTRANGE(""https://docs.google.com/spreadsheets/d/1MeEWN-I1oV_STSDYn1IFDPWt_1FKiwhDph83XaGc0o0/edit?usp=sharing"",""งบพรบ!CK61"")"),0)</f>
        <v>0</v>
      </c>
      <c r="N173" s="93">
        <f ca="1">IFERROR(__xludf.DUMMYFUNCTION("IMPORTRANGE(""https://docs.google.com/spreadsheets/d/1MeEWN-I1oV_STSDYn1IFDPWt_1FKiwhDph83XaGc0o0/edit?usp=sharing"",""งบพรบ!CM61"")"),0)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IFERROR(__xludf.DUMMYFUNCTION("IMPORTRANGE(""https://docs.google.com/spreadsheets/d/1QqKyyYR6Q21VydFLVH3TRQUabQu_ym0Zz7PgGX0-kHA/edit?usp=sharing"",""แผน!Y61"")"),10)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919700</v>
      </c>
      <c r="M181" s="155">
        <f t="shared" ca="1" si="92"/>
        <v>946970</v>
      </c>
      <c r="N181" s="155">
        <f t="shared" ca="1" si="92"/>
        <v>694280.61</v>
      </c>
      <c r="O181" s="155">
        <f t="shared" ref="O181:O189" ca="1" si="93">IF(L181&gt;0,N181*100/L181,0)</f>
        <v>75.489899967380666</v>
      </c>
      <c r="P181" s="155">
        <f t="shared" ref="P181:P189" ca="1" si="94">IF(M181&gt;0,N181*100/M181,0)</f>
        <v>73.316008954877134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919700</v>
      </c>
      <c r="M183" s="93">
        <f t="shared" ca="1" si="95"/>
        <v>946970</v>
      </c>
      <c r="N183" s="93">
        <f t="shared" ca="1" si="95"/>
        <v>694280.61</v>
      </c>
      <c r="O183" s="93">
        <f t="shared" ca="1" si="93"/>
        <v>75.489899967380666</v>
      </c>
      <c r="P183" s="93">
        <f t="shared" ca="1" si="94"/>
        <v>73.316008954877134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919700</v>
      </c>
      <c r="M184" s="497">
        <f t="shared" ca="1" si="96"/>
        <v>946970</v>
      </c>
      <c r="N184" s="497">
        <f t="shared" ca="1" si="96"/>
        <v>694280.61</v>
      </c>
      <c r="O184" s="497">
        <f t="shared" ca="1" si="93"/>
        <v>75.489899967380666</v>
      </c>
      <c r="P184" s="497">
        <f t="shared" ca="1" si="94"/>
        <v>73.316008954877134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IFERROR(__xludf.DUMMYFUNCTION("IMPORTRANGE(""https://docs.google.com/spreadsheets/d/1MeEWN-I1oV_STSDYn1IFDPWt_1FKiwhDph83XaGc0o0/edit?usp=sharing"",""งบพรบ!CO61"")"),919700)</f>
        <v>919700</v>
      </c>
      <c r="M186" s="93">
        <f ca="1">IFERROR(__xludf.DUMMYFUNCTION("IMPORTRANGE(""https://docs.google.com/spreadsheets/d/1MeEWN-I1oV_STSDYn1IFDPWt_1FKiwhDph83XaGc0o0/edit?usp=sharing"",""งบพรบ!CT61"")"),946970)</f>
        <v>946970</v>
      </c>
      <c r="N186" s="93">
        <f ca="1">IFERROR(__xludf.DUMMYFUNCTION("IMPORTRANGE(""https://docs.google.com/spreadsheets/d/1MeEWN-I1oV_STSDYn1IFDPWt_1FKiwhDph83XaGc0o0/edit?usp=sharing"",""งบพรบ!CV61"")"),694280.61)</f>
        <v>694280.61</v>
      </c>
      <c r="O186" s="93">
        <f t="shared" ca="1" si="93"/>
        <v>75.489899967380666</v>
      </c>
      <c r="P186" s="93">
        <f t="shared" ca="1" si="94"/>
        <v>73.316008954877134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IFERROR(__xludf.DUMMYFUNCTION("IMPORTRANGE(""https://docs.google.com/spreadsheets/d/1MeEWN-I1oV_STSDYn1IFDPWt_1FKiwhDph83XaGc0o0/edit?usp=sharing"",""งบพรบ!CR61"")"),0)</f>
        <v>0</v>
      </c>
      <c r="M189" s="93">
        <f ca="1">IFERROR(__xludf.DUMMYFUNCTION("IMPORTRANGE(""https://docs.google.com/spreadsheets/d/1MeEWN-I1oV_STSDYn1IFDPWt_1FKiwhDph83XaGc0o0/edit?usp=sharing"",""งบพรบ!CU61"")"),0)</f>
        <v>0</v>
      </c>
      <c r="N189" s="93">
        <f ca="1">IFERROR(__xludf.DUMMYFUNCTION("IMPORTRANGE(""https://docs.google.com/spreadsheets/d/1MeEWN-I1oV_STSDYn1IFDPWt_1FKiwhDph83XaGc0o0/edit?usp=sharing"",""งบพรบ!CW61"")"),0)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IFERROR(__xludf.DUMMYFUNCTION("IMPORTRANGE(""https://docs.google.com/spreadsheets/d/1QqKyyYR6Q21VydFLVH3TRQUabQu_ym0Zz7PgGX0-kHA/edit?usp=sharing"",""แผน!Z61"")"),6000)</f>
        <v>6000</v>
      </c>
      <c r="M191" s="155"/>
      <c r="N191" s="276">
        <v>4460</v>
      </c>
      <c r="O191" s="155">
        <f ca="1">IF(L191&gt;0,N191*100/L191,0)</f>
        <v>74.333333333333329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12830</v>
      </c>
      <c r="O198" s="155">
        <f ca="1">IF(L198&gt;0,N198*100/L198,0)</f>
        <v>98.692307692307693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IFERROR(__xludf.DUMMYFUNCTION("IMPORTRANGE(""https://docs.google.com/spreadsheets/d/1QqKyyYR6Q21VydFLVH3TRQUabQu_ym0Zz7PgGX0-kHA/edit?usp=sharing"",""แผน!AE61"")"),1000)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IFERROR(__xludf.DUMMYFUNCTION("IMPORTRANGE(""https://docs.google.com/spreadsheets/d/1QqKyyYR6Q21VydFLVH3TRQUabQu_ym0Zz7PgGX0-kHA/edit?usp=sharing"",""แผน!AF61"")"),8000)</f>
        <v>8000</v>
      </c>
      <c r="M200" s="497"/>
      <c r="N200" s="284">
        <v>8830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IFERROR(__xludf.DUMMYFUNCTION("IMPORTRANGE(""https://docs.google.com/spreadsheets/d/1QqKyyYR6Q21VydFLVH3TRQUabQu_ym0Zz7PgGX0-kHA/edit?usp=sharing"",""แผน!AG61"")"),4000)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IFERROR(__xludf.DUMMYFUNCTION("IMPORTRANGE(""https://docs.google.com/spreadsheets/d/1QqKyyYR6Q21VydFLVH3TRQUabQu_ym0Zz7PgGX0-kHA/edit?usp=sharing"",""แผน!AI61"")"),1)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IFERROR(__xludf.DUMMYFUNCTION("IMPORTRANGE(""https://docs.google.com/spreadsheets/d/1QqKyyYR6Q21VydFLVH3TRQUabQu_ym0Zz7PgGX0-kHA/edit?usp=sharing"",""แผน!AN61"")"),0)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IFERROR(__xludf.DUMMYFUNCTION("IMPORTRANGE(""https://docs.google.com/spreadsheets/d/1QqKyyYR6Q21VydFLVH3TRQUabQu_ym0Zz7PgGX0-kHA/edit?usp=sharing"",""แผน!AN61"")"),0)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IFERROR(__xludf.DUMMYFUNCTION("IMPORTRANGE(""https://docs.google.com/spreadsheets/d/1QqKyyYR6Q21VydFLVH3TRQUabQu_ym0Zz7PgGX0-kHA/edit?usp=sharing"",""แผน!AQ61"")"),5000)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IFERROR(__xludf.DUMMYFUNCTION("IMPORTRANGE(""https://docs.google.com/spreadsheets/d/1QqKyyYR6Q21VydFLVH3TRQUabQu_ym0Zz7PgGX0-kHA/edit?usp=sharing"",""แผน!AT61"")"),20000)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220900</v>
      </c>
      <c r="M227" s="356"/>
      <c r="N227" s="356">
        <f t="shared" ref="N227:N231" si="107">N238+N249</f>
        <v>190697.34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132797.34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32900</v>
      </c>
      <c r="M229" s="93"/>
      <c r="N229" s="93">
        <f t="shared" si="107"/>
        <v>32900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15000</v>
      </c>
      <c r="M230" s="93"/>
      <c r="N230" s="93">
        <f t="shared" si="107"/>
        <v>15000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220900</v>
      </c>
      <c r="M238" s="155"/>
      <c r="N238" s="155">
        <f>N239+N240+N241+N242</f>
        <v>190697.34</v>
      </c>
      <c r="O238" s="155">
        <f ca="1">IF(L238&gt;0,N238*100/L238,0)</f>
        <v>86.3274513354459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IFERROR(__xludf.DUMMYFUNCTION("IMPORTRANGE(""https://docs.google.com/spreadsheets/d/1QqKyyYR6Q21VydFLVH3TRQUabQu_ym0Zz7PgGX0-kHA/edit?usp=sharing"",""แผน!AV61"")"),163000)</f>
        <v>163000</v>
      </c>
      <c r="M239" s="283"/>
      <c r="N239" s="872">
        <v>132797.34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IFERROR(__xludf.DUMMYFUNCTION("IMPORTRANGE(""https://docs.google.com/spreadsheets/d/1QqKyyYR6Q21VydFLVH3TRQUabQu_ym0Zz7PgGX0-kHA/edit?usp=sharing"",""แผน!AW61"")"),32900)</f>
        <v>32900</v>
      </c>
      <c r="M240" s="283"/>
      <c r="N240" s="872">
        <v>32900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IFERROR(__xludf.DUMMYFUNCTION("IMPORTRANGE(""https://docs.google.com/spreadsheets/d/1QqKyyYR6Q21VydFLVH3TRQUabQu_ym0Zz7PgGX0-kHA/edit?usp=sharing"",""แผน!AX61"")"),15000)</f>
        <v>15000</v>
      </c>
      <c r="M241" s="283"/>
      <c r="N241" s="872">
        <v>15000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IFERROR(__xludf.DUMMYFUNCTION("IMPORTRANGE(""https://docs.google.com/spreadsheets/d/1QqKyyYR6Q21VydFLVH3TRQUabQu_ym0Zz7PgGX0-kHA/edit?usp=sharing"",""แผน!AY61"")"),10000)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IFERROR(__xludf.DUMMYFUNCTION("IMPORTRANGE(""https://docs.google.com/spreadsheets/d/1QqKyyYR6Q21VydFLVH3TRQUabQu_ym0Zz7PgGX0-kHA/edit?usp=sharing"",""แผน!BE61"")"),30)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IFERROR(__xludf.DUMMYFUNCTION("IMPORTRANGE(""https://docs.google.com/spreadsheets/d/1QqKyyYR6Q21VydFLVH3TRQUabQu_ym0Zz7PgGX0-kHA/edit?usp=sharing"",""แผน!AZ61"")"),0)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IFERROR(__xludf.DUMMYFUNCTION("IMPORTRANGE(""https://docs.google.com/spreadsheets/d/1QqKyyYR6Q21VydFLVH3TRQUabQu_ym0Zz7PgGX0-kHA/edit?usp=sharing"",""แผน!BA61"")"),0)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IFERROR(__xludf.DUMMYFUNCTION("IMPORTRANGE(""https://docs.google.com/spreadsheets/d/1QqKyyYR6Q21VydFLVH3TRQUabQu_ym0Zz7PgGX0-kHA/edit?usp=sharing"",""แผน!BB61"")"),0)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IFERROR(__xludf.DUMMYFUNCTION("IMPORTRANGE(""https://docs.google.com/spreadsheets/d/1QqKyyYR6Q21VydFLVH3TRQUabQu_ym0Zz7PgGX0-kHA/edit?usp=sharing"",""แผน!BC61"")"),0)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22640</v>
      </c>
      <c r="O261" s="155">
        <f t="shared" ref="O261:O269" ca="1" si="117">IF(L261&gt;0,N261*100/L261,0)</f>
        <v>84.163568773234203</v>
      </c>
      <c r="P261" s="155">
        <f t="shared" ref="P261:P269" ca="1" si="118">IF(M261&gt;0,N261*100/M261,0)</f>
        <v>84.163568773234203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22640</v>
      </c>
      <c r="O263" s="93">
        <f t="shared" ca="1" si="117"/>
        <v>84.163568773234203</v>
      </c>
      <c r="P263" s="93">
        <f t="shared" ca="1" si="118"/>
        <v>84.163568773234203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22640</v>
      </c>
      <c r="O264" s="497">
        <f t="shared" ca="1" si="117"/>
        <v>84.163568773234203</v>
      </c>
      <c r="P264" s="497">
        <f t="shared" ca="1" si="118"/>
        <v>84.163568773234203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IFERROR(__xludf.DUMMYFUNCTION("IMPORTRANGE(""https://docs.google.com/spreadsheets/d/1MeEWN-I1oV_STSDYn1IFDPWt_1FKiwhDph83XaGc0o0/edit?usp=sharing"",""งบพรบ!CY61"")"),26900)</f>
        <v>26900</v>
      </c>
      <c r="M266" s="93">
        <f ca="1">IFERROR(__xludf.DUMMYFUNCTION("IMPORTRANGE(""https://docs.google.com/spreadsheets/d/1MeEWN-I1oV_STSDYn1IFDPWt_1FKiwhDph83XaGc0o0/edit?usp=sharing"",""งบพรบ!DD61"")"),26900)</f>
        <v>26900</v>
      </c>
      <c r="N266" s="93">
        <f ca="1">IFERROR(__xludf.DUMMYFUNCTION("IMPORTRANGE(""https://docs.google.com/spreadsheets/d/1MeEWN-I1oV_STSDYn1IFDPWt_1FKiwhDph83XaGc0o0/edit?usp=sharing"",""งบพรบ!DF61"")"),22640)</f>
        <v>22640</v>
      </c>
      <c r="O266" s="93">
        <f t="shared" ca="1" si="117"/>
        <v>84.163568773234203</v>
      </c>
      <c r="P266" s="93">
        <f t="shared" ca="1" si="118"/>
        <v>84.163568773234203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IFERROR(__xludf.DUMMYFUNCTION("IMPORTRANGE(""https://docs.google.com/spreadsheets/d/1MeEWN-I1oV_STSDYn1IFDPWt_1FKiwhDph83XaGc0o0/edit?usp=sharing"",""งบพรบ!DB61"")"),0)</f>
        <v>0</v>
      </c>
      <c r="M269" s="93">
        <f ca="1">IFERROR(__xludf.DUMMYFUNCTION("IMPORTRANGE(""https://docs.google.com/spreadsheets/d/1MeEWN-I1oV_STSDYn1IFDPWt_1FKiwhDph83XaGc0o0/edit?usp=sharing"",""งบพรบ!DE61"")"),0)</f>
        <v>0</v>
      </c>
      <c r="N269" s="93">
        <f ca="1">IFERROR(__xludf.DUMMYFUNCTION("IMPORTRANGE(""https://docs.google.com/spreadsheets/d/1MeEWN-I1oV_STSDYn1IFDPWt_1FKiwhDph83XaGc0o0/edit?usp=sharing"",""งบพรบ!DG61"")"),0)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IFERROR(__xludf.DUMMYFUNCTION("IMPORTRANGE(""https://docs.google.com/spreadsheets/d/1MeEWN-I1oV_STSDYn1IFDPWt_1FKiwhDph83XaGc0o0/edit?usp=sharing"",""งบพรบ!DI61"")"),0)</f>
        <v>0</v>
      </c>
      <c r="M282" s="93">
        <f ca="1">IFERROR(__xludf.DUMMYFUNCTION("IMPORTRANGE(""https://docs.google.com/spreadsheets/d/1MeEWN-I1oV_STSDYn1IFDPWt_1FKiwhDph83XaGc0o0/edit?usp=sharing"",""งบพรบ!DN61"")"),0)</f>
        <v>0</v>
      </c>
      <c r="N282" s="93">
        <f ca="1">IFERROR(__xludf.DUMMYFUNCTION("IMPORTRANGE(""https://docs.google.com/spreadsheets/d/1MeEWN-I1oV_STSDYn1IFDPWt_1FKiwhDph83XaGc0o0/edit?usp=sharing"",""งบพรบ!DP61"")"),0)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IFERROR(__xludf.DUMMYFUNCTION("IMPORTRANGE(""https://docs.google.com/spreadsheets/d/1MeEWN-I1oV_STSDYn1IFDPWt_1FKiwhDph83XaGc0o0/edit?usp=sharing"",""งบพรบ!DL61"")"),0)</f>
        <v>0</v>
      </c>
      <c r="M285" s="93">
        <f ca="1">IFERROR(__xludf.DUMMYFUNCTION("IMPORTRANGE(""https://docs.google.com/spreadsheets/d/1MeEWN-I1oV_STSDYn1IFDPWt_1FKiwhDph83XaGc0o0/edit?usp=sharing"",""งบพรบ!DO61"")"),0)</f>
        <v>0</v>
      </c>
      <c r="N285" s="93">
        <f ca="1">IFERROR(__xludf.DUMMYFUNCTION("IMPORTRANGE(""https://docs.google.com/spreadsheets/d/1MeEWN-I1oV_STSDYn1IFDPWt_1FKiwhDph83XaGc0o0/edit?usp=sharing"",""งบพรบ!DQ61"")"),0)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IFERROR(__xludf.DUMMYFUNCTION("IMPORTRANGE(""https://docs.google.com/spreadsheets/d/1QqKyyYR6Q21VydFLVH3TRQUabQu_ym0Zz7PgGX0-kHA/edit?usp=sharing"",""แผน!EC61"")"),0)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IFERROR(__xludf.DUMMYFUNCTION("IMPORTRANGE(""https://docs.google.com/spreadsheets/d/1QqKyyYR6Q21VydFLVH3TRQUabQu_ym0Zz7PgGX0-kHA/edit?usp=sharing"",""แผน!EB61"")"),0)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IFERROR(__xludf.DUMMYFUNCTION("IMPORTRANGE(""https://docs.google.com/spreadsheets/d/1QqKyyYR6Q21VydFLVH3TRQUabQu_ym0Zz7PgGX0-kHA/edit?usp=sharing"",""แผน!EB61"")"),0)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IFERROR(__xludf.DUMMYFUNCTION("IMPORTRANGE(""https://docs.google.com/spreadsheets/d/1QqKyyYR6Q21VydFLVH3TRQUabQu_ym0Zz7PgGX0-kHA/edit?usp=sharing"",""แผน!EB61"")"),0)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IFERROR(__xludf.DUMMYFUNCTION("IMPORTRANGE(""https://docs.google.com/spreadsheets/d/1QqKyyYR6Q21VydFLVH3TRQUabQu_ym0Zz7PgGX0-kHA/edit?usp=sharing"",""แผน!EB61"")"),0)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IFERROR(__xludf.DUMMYFUNCTION("IMPORTRANGE(""https://docs.google.com/spreadsheets/d/1QqKyyYR6Q21VydFLVH3TRQUabQu_ym0Zz7PgGX0-kHA/edit?usp=sharing"",""แผน!EB61"")"),0)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IFERROR(__xludf.DUMMYFUNCTION("IMPORTRANGE(""https://docs.google.com/spreadsheets/d/1MeEWN-I1oV_STSDYn1IFDPWt_1FKiwhDph83XaGc0o0/edit?usp=sharing"",""งบพรบ!DS61"")"),0)</f>
        <v>0</v>
      </c>
      <c r="M303" s="93">
        <f ca="1">IFERROR(__xludf.DUMMYFUNCTION("IMPORTRANGE(""https://docs.google.com/spreadsheets/d/1MeEWN-I1oV_STSDYn1IFDPWt_1FKiwhDph83XaGc0o0/edit?usp=sharing"",""งบพรบ!DX61"")"),0)</f>
        <v>0</v>
      </c>
      <c r="N303" s="93">
        <f ca="1">IFERROR(__xludf.DUMMYFUNCTION("IMPORTRANGE(""https://docs.google.com/spreadsheets/d/1MeEWN-I1oV_STSDYn1IFDPWt_1FKiwhDph83XaGc0o0/edit?usp=sharing"",""งบพรบ!DZ61"")"),0)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IFERROR(__xludf.DUMMYFUNCTION("IMPORTRANGE(""https://docs.google.com/spreadsheets/d/1MeEWN-I1oV_STSDYn1IFDPWt_1FKiwhDph83XaGc0o0/edit?usp=sharing"",""งบพรบ!DV61"")"),0)</f>
        <v>0</v>
      </c>
      <c r="M306" s="93">
        <f ca="1">IFERROR(__xludf.DUMMYFUNCTION("IMPORTRANGE(""https://docs.google.com/spreadsheets/d/1MeEWN-I1oV_STSDYn1IFDPWt_1FKiwhDph83XaGc0o0/edit?usp=sharing"",""งบพรบ!DY61"")"),0)</f>
        <v>0</v>
      </c>
      <c r="N306" s="93">
        <f ca="1">IFERROR(__xludf.DUMMYFUNCTION("IMPORTRANGE(""https://docs.google.com/spreadsheets/d/1MeEWN-I1oV_STSDYn1IFDPWt_1FKiwhDph83XaGc0o0/edit?usp=sharing"",""งบพรบ!EA61"")"),0)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IFERROR(__xludf.DUMMYFUNCTION("IMPORTRANGE(""https://docs.google.com/spreadsheets/d/1QqKyyYR6Q21VydFLVH3TRQUabQu_ym0Zz7PgGX0-kHA/edit?usp=sharing"",""แผน!ED61"")"),0)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IFERROR(__xludf.DUMMYFUNCTION("IMPORTRANGE(""https://docs.google.com/spreadsheets/d/1QqKyyYR6Q21VydFLVH3TRQUabQu_ym0Zz7PgGX0-kHA/edit?usp=sharing"",""แผน!ED61"")"),0)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IFERROR(__xludf.DUMMYFUNCTION("IMPORTRANGE(""https://docs.google.com/spreadsheets/d/1QqKyyYR6Q21VydFLVH3TRQUabQu_ym0Zz7PgGX0-kHA/edit?usp=sharing"",""แผน!ED61"")"),0)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IFERROR(__xludf.DUMMYFUNCTION("IMPORTRANGE(""https://docs.google.com/spreadsheets/d/1QqKyyYR6Q21VydFLVH3TRQUabQu_ym0Zz7PgGX0-kHA/edit?usp=sharing"",""แผน!EE61"")"),0)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IFERROR(__xludf.DUMMYFUNCTION("IMPORTRANGE(""https://docs.google.com/spreadsheets/d/1MeEWN-I1oV_STSDYn1IFDPWt_1FKiwhDph83XaGc0o0/edit?usp=sharing"",""งบพรบ!EC61"")"),0)</f>
        <v>0</v>
      </c>
      <c r="M320" s="93">
        <f ca="1">IFERROR(__xludf.DUMMYFUNCTION("IMPORTRANGE(""https://docs.google.com/spreadsheets/d/1MeEWN-I1oV_STSDYn1IFDPWt_1FKiwhDph83XaGc0o0/edit?usp=sharing"",""งบพรบ!EH61"")"),0)</f>
        <v>0</v>
      </c>
      <c r="N320" s="93">
        <f ca="1">IFERROR(__xludf.DUMMYFUNCTION("IMPORTRANGE(""https://docs.google.com/spreadsheets/d/1MeEWN-I1oV_STSDYn1IFDPWt_1FKiwhDph83XaGc0o0/edit?usp=sharing"",""งบพรบ!EJ61"")"),0)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IFERROR(__xludf.DUMMYFUNCTION("IMPORTRANGE(""https://docs.google.com/spreadsheets/d/1MeEWN-I1oV_STSDYn1IFDPWt_1FKiwhDph83XaGc0o0/edit?usp=sharing"",""งบพรบ!EF61"")"),0)</f>
        <v>0</v>
      </c>
      <c r="M323" s="93">
        <f ca="1">IFERROR(__xludf.DUMMYFUNCTION("IMPORTRANGE(""https://docs.google.com/spreadsheets/d/1MeEWN-I1oV_STSDYn1IFDPWt_1FKiwhDph83XaGc0o0/edit?usp=sharing"",""งบพรบ!EI61"")"),0)</f>
        <v>0</v>
      </c>
      <c r="N323" s="93">
        <f ca="1">IFERROR(__xludf.DUMMYFUNCTION("IMPORTRANGE(""https://docs.google.com/spreadsheets/d/1MeEWN-I1oV_STSDYn1IFDPWt_1FKiwhDph83XaGc0o0/edit?usp=sharing"",""งบพรบ!EK61"")"),0)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IFERROR(__xludf.DUMMYFUNCTION("IMPORTRANGE(""https://docs.google.com/spreadsheets/d/1QqKyyYR6Q21VydFLVH3TRQUabQu_ym0Zz7PgGX0-kHA/edit?usp=sharing"",""แผน!EG61"")"),1400)</f>
        <v>1400</v>
      </c>
      <c r="J327" s="444">
        <f ca="1">J338+J341+J342+J343</f>
        <v>1335</v>
      </c>
      <c r="K327" s="445">
        <f ca="1">IF(I327&gt;0,J327*100/I327,0)</f>
        <v>95.357142857142861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337200</v>
      </c>
      <c r="M328" s="155">
        <f t="shared" ca="1" si="149"/>
        <v>339700</v>
      </c>
      <c r="N328" s="155">
        <f t="shared" ca="1" si="149"/>
        <v>239166.69</v>
      </c>
      <c r="O328" s="155">
        <f t="shared" ref="O328:O336" ca="1" si="150">IF(L328&gt;0,N328*100/L328,0)</f>
        <v>70.927250889679712</v>
      </c>
      <c r="P328" s="155">
        <f t="shared" ref="P328:P336" ca="1" si="151">IF(M328&gt;0,N328*100/M328,0)</f>
        <v>70.4052664115396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337200</v>
      </c>
      <c r="M330" s="93">
        <f t="shared" ca="1" si="152"/>
        <v>339700</v>
      </c>
      <c r="N330" s="93">
        <f t="shared" ca="1" si="152"/>
        <v>239166.69</v>
      </c>
      <c r="O330" s="93">
        <f t="shared" ca="1" si="150"/>
        <v>70.927250889679712</v>
      </c>
      <c r="P330" s="93">
        <f t="shared" ca="1" si="151"/>
        <v>70.4052664115396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337200</v>
      </c>
      <c r="M331" s="497">
        <f t="shared" ca="1" si="153"/>
        <v>339700</v>
      </c>
      <c r="N331" s="497">
        <f t="shared" ca="1" si="153"/>
        <v>239166.69</v>
      </c>
      <c r="O331" s="497">
        <f t="shared" ca="1" si="150"/>
        <v>70.927250889679712</v>
      </c>
      <c r="P331" s="497">
        <f t="shared" ca="1" si="151"/>
        <v>70.4052664115396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IFERROR(__xludf.DUMMYFUNCTION("IMPORTRANGE(""https://docs.google.com/spreadsheets/d/1MeEWN-I1oV_STSDYn1IFDPWt_1FKiwhDph83XaGc0o0/edit?usp=sharing"",""งบพรบ!EM61"")"),337200)</f>
        <v>337200</v>
      </c>
      <c r="M333" s="93">
        <f ca="1">IFERROR(__xludf.DUMMYFUNCTION("IMPORTRANGE(""https://docs.google.com/spreadsheets/d/1MeEWN-I1oV_STSDYn1IFDPWt_1FKiwhDph83XaGc0o0/edit?usp=sharing"",""งบพรบ!ER61"")"),339700)</f>
        <v>339700</v>
      </c>
      <c r="N333" s="93">
        <f ca="1">IFERROR(__xludf.DUMMYFUNCTION("IMPORTRANGE(""https://docs.google.com/spreadsheets/d/1MeEWN-I1oV_STSDYn1IFDPWt_1FKiwhDph83XaGc0o0/edit?usp=sharing"",""งบพรบ!ET61"")"),239166.69)</f>
        <v>239166.69</v>
      </c>
      <c r="O333" s="93">
        <f t="shared" ca="1" si="150"/>
        <v>70.927250889679712</v>
      </c>
      <c r="P333" s="93">
        <f t="shared" ca="1" si="151"/>
        <v>70.4052664115396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IFERROR(__xludf.DUMMYFUNCTION("IMPORTRANGE(""https://docs.google.com/spreadsheets/d/1MeEWN-I1oV_STSDYn1IFDPWt_1FKiwhDph83XaGc0o0/edit?usp=sharing"",""งบพรบ!EP61"")"),0)</f>
        <v>0</v>
      </c>
      <c r="M336" s="93">
        <f ca="1">IFERROR(__xludf.DUMMYFUNCTION("IMPORTRANGE(""https://docs.google.com/spreadsheets/d/1MeEWN-I1oV_STSDYn1IFDPWt_1FKiwhDph83XaGc0o0/edit?usp=sharing"",""งบพรบ!ES61"")"),0)</f>
        <v>0</v>
      </c>
      <c r="N336" s="93">
        <f ca="1">IFERROR(__xludf.DUMMYFUNCTION("IMPORTRANGE(""https://docs.google.com/spreadsheets/d/1MeEWN-I1oV_STSDYn1IFDPWt_1FKiwhDph83XaGc0o0/edit?usp=sharing"",""งบพรบ!EU61"")"),0)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IFERROR(__xludf.DUMMYFUNCTION("IMPORTRANGE(""https://docs.google.com/spreadsheets/d/1QqKyyYR6Q21VydFLVH3TRQUabQu_ym0Zz7PgGX0-kHA/edit?usp=sharing"",""แผน!EG61"")"),1400)</f>
        <v>1400</v>
      </c>
      <c r="J338" s="270">
        <f ca="1">IFERROR(__xludf.DUMMYFUNCTION("IMPORTRANGE(""https://docs.google.com/spreadsheets/d/1kVcqe37tkHyjCSG3S0O1AXqVkqjo8mSIZil3BcpIysc/edit?usp=sharing"",""ศูนย์!D61"")"),585)</f>
        <v>585</v>
      </c>
      <c r="K338" s="497">
        <f ca="1">IF(I338&gt;0,J338*100/I338,0)</f>
        <v>41.785714285714285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IFERROR(__xludf.DUMMYFUNCTION("IMPORTRANGE(""https://docs.google.com/spreadsheets/d/1QqKyyYR6Q21VydFLVH3TRQUabQu_ym0Zz7PgGX0-kHA/edit?usp=sharing"",""แผน!EH61"")"),2)</f>
        <v>2</v>
      </c>
      <c r="J340" s="270">
        <f ca="1">IFERROR(__xludf.DUMMYFUNCTION("IMPORTRANGE(""https://docs.google.com/spreadsheets/d/1kVcqe37tkHyjCSG3S0O1AXqVkqjo8mSIZil3BcpIysc/edit?usp=sharing"",""ศูนย์!E61"")"),10)</f>
        <v>10</v>
      </c>
      <c r="K340" s="497">
        <f ca="1">IF(I340&gt;0,J340*100/I340,0)</f>
        <v>500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IFERROR(__xludf.DUMMYFUNCTION("IMPORTRANGE(""https://docs.google.com/spreadsheets/d/1kVcqe37tkHyjCSG3S0O1AXqVkqjo8mSIZil3BcpIysc/edit?usp=sharing"",""ศูนย์!F61"")"),750)</f>
        <v>750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306980</v>
      </c>
      <c r="M345" s="155">
        <f t="shared" ca="1" si="155"/>
        <v>306980</v>
      </c>
      <c r="N345" s="155">
        <f t="shared" ca="1" si="155"/>
        <v>225070</v>
      </c>
      <c r="O345" s="155">
        <f t="shared" ref="O345:O353" ca="1" si="156">IF(L345&gt;0,N345*100/L345,0)</f>
        <v>73.317479966121567</v>
      </c>
      <c r="P345" s="155">
        <f t="shared" ref="P345:P353" ca="1" si="157">IF(M345&gt;0,N345*100/M345,0)</f>
        <v>73.317479966121567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306980</v>
      </c>
      <c r="M347" s="93">
        <f t="shared" ca="1" si="158"/>
        <v>306980</v>
      </c>
      <c r="N347" s="93">
        <f t="shared" ca="1" si="158"/>
        <v>225070</v>
      </c>
      <c r="O347" s="93">
        <f t="shared" ca="1" si="156"/>
        <v>73.317479966121567</v>
      </c>
      <c r="P347" s="93">
        <f t="shared" ca="1" si="157"/>
        <v>73.317479966121567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193180</v>
      </c>
      <c r="M348" s="497">
        <f t="shared" ca="1" si="159"/>
        <v>193180</v>
      </c>
      <c r="N348" s="497">
        <f t="shared" ca="1" si="159"/>
        <v>111270</v>
      </c>
      <c r="O348" s="497">
        <f t="shared" ca="1" si="156"/>
        <v>57.599130344756183</v>
      </c>
      <c r="P348" s="497">
        <f t="shared" ca="1" si="157"/>
        <v>57.599130344756183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IFERROR(__xludf.DUMMYFUNCTION("IMPORTRANGE(""https://docs.google.com/spreadsheets/d/1MeEWN-I1oV_STSDYn1IFDPWt_1FKiwhDph83XaGc0o0/edit?usp=sharing"",""งบพรบ!EW61"")"),193180)</f>
        <v>193180</v>
      </c>
      <c r="M350" s="93">
        <f ca="1">IFERROR(__xludf.DUMMYFUNCTION("IMPORTRANGE(""https://docs.google.com/spreadsheets/d/1MeEWN-I1oV_STSDYn1IFDPWt_1FKiwhDph83XaGc0o0/edit?usp=sharing"",""งบพรบ!FB61"")"),193180)</f>
        <v>193180</v>
      </c>
      <c r="N350" s="93">
        <f ca="1">IFERROR(__xludf.DUMMYFUNCTION("IMPORTRANGE(""https://docs.google.com/spreadsheets/d/1MeEWN-I1oV_STSDYn1IFDPWt_1FKiwhDph83XaGc0o0/edit?usp=sharing"",""งบพรบ!FD61"")"),111270)</f>
        <v>111270</v>
      </c>
      <c r="O350" s="93">
        <f t="shared" ca="1" si="156"/>
        <v>57.599130344756183</v>
      </c>
      <c r="P350" s="93">
        <f t="shared" ca="1" si="157"/>
        <v>57.599130344756183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IFERROR(__xludf.DUMMYFUNCTION("IMPORTRANGE(""https://docs.google.com/spreadsheets/d/1MeEWN-I1oV_STSDYn1IFDPWt_1FKiwhDph83XaGc0o0/edit?usp=sharing"",""งบพรบ!EZ61"")"),113800)</f>
        <v>113800</v>
      </c>
      <c r="M353" s="93">
        <f ca="1">IFERROR(__xludf.DUMMYFUNCTION("IMPORTRANGE(""https://docs.google.com/spreadsheets/d/1MeEWN-I1oV_STSDYn1IFDPWt_1FKiwhDph83XaGc0o0/edit?usp=sharing"",""งบพรบ!FC61"")"),113800)</f>
        <v>113800</v>
      </c>
      <c r="N353" s="93">
        <f ca="1">IFERROR(__xludf.DUMMYFUNCTION("IMPORTRANGE(""https://docs.google.com/spreadsheets/d/1MeEWN-I1oV_STSDYn1IFDPWt_1FKiwhDph83XaGc0o0/edit?usp=sharing"",""งบพรบ!FE61"")"),113800)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IFERROR(__xludf.DUMMYFUNCTION("IMPORTRANGE(""https://docs.google.com/spreadsheets/d/1XWAQStnk-4SwqDmLtmXYiTMKHgktTP8We1SCoS47DrQ/edit?usp=sharing"",""จัดที่ดิน!W61"")"),0)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IFERROR(__xludf.DUMMYFUNCTION("IMPORTRANGE(""https://docs.google.com/spreadsheets/d/1QqKyyYR6Q21VydFLVH3TRQUabQu_ym0Zz7PgGX0-kHA/edit?usp=sharing"",""แผน!EO61"")"),0)</f>
        <v>0</v>
      </c>
      <c r="J359" s="270">
        <f ca="1">IFERROR(__xludf.DUMMYFUNCTION("IMPORTRANGE(""https://docs.google.com/spreadsheets/d/1XWAQStnk-4SwqDmLtmXYiTMKHgktTP8We1SCoS47DrQ/edit?usp=sharing"",""จัดที่ดิน!X61"")"),0)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IFERROR(__xludf.DUMMYFUNCTION("IMPORTRANGE(""https://docs.google.com/spreadsheets/d/1QqKyyYR6Q21VydFLVH3TRQUabQu_ym0Zz7PgGX0-kHA/edit?usp=sharing"",""แผน!EP61"")"),0)</f>
        <v>0</v>
      </c>
      <c r="J360" s="270">
        <f ca="1">IFERROR(__xludf.DUMMYFUNCTION("IMPORTRANGE(""https://docs.google.com/spreadsheets/d/1XWAQStnk-4SwqDmLtmXYiTMKHgktTP8We1SCoS47DrQ/edit?usp=sharing"",""จัดที่ดิน!Y61"")"),0)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IFERROR(__xludf.DUMMYFUNCTION("IMPORTRANGE(""https://docs.google.com/spreadsheets/d/1XWAQStnk-4SwqDmLtmXYiTMKHgktTP8We1SCoS47DrQ/edit?usp=sharing"",""จัดที่ดิน!Z61"")"),0)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IFERROR(__xludf.DUMMYFUNCTION("IMPORTRANGE(""https://docs.google.com/spreadsheets/d/1QqKyyYR6Q21VydFLVH3TRQUabQu_ym0Zz7PgGX0-kHA/edit?usp=sharing"",""แผน!EP61"")"),0)</f>
        <v>0</v>
      </c>
      <c r="J362" s="270">
        <f ca="1">IFERROR(__xludf.DUMMYFUNCTION("IMPORTRANGE(""https://docs.google.com/spreadsheets/d/1XWAQStnk-4SwqDmLtmXYiTMKHgktTP8We1SCoS47DrQ/edit?usp=sharing"",""จัดที่ดิน!AA61"")"),0)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IFERROR(__xludf.DUMMYFUNCTION("IMPORTRANGE(""https://docs.google.com/spreadsheets/d/1XWAQStnk-4SwqDmLtmXYiTMKHgktTP8We1SCoS47DrQ/edit?usp=sharing"",""จัดที่ดิน!AB61"")"),0)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0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IFERROR(__xludf.DUMMYFUNCTION("IMPORTRANGE(""https://docs.google.com/spreadsheets/d/1QqKyyYR6Q21VydFLVH3TRQUabQu_ym0Zz7PgGX0-kHA/edit?usp=sharing"",""แผน!EJ61"")"),0)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IFERROR(__xludf.DUMMYFUNCTION("IMPORTRANGE(""https://docs.google.com/spreadsheets/d/1XWAQStnk-4SwqDmLtmXYiTMKHgktTP8We1SCoS47DrQ/edit?usp=sharing"",""จัดที่ดิน!E61"")"),0)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IFERROR(__xludf.DUMMYFUNCTION("IMPORTRANGE(""https://docs.google.com/spreadsheets/d/1QqKyyYR6Q21VydFLVH3TRQUabQu_ym0Zz7PgGX0-kHA/edit?usp=sharing"",""แผน!EI61"")"),0)</f>
        <v>0</v>
      </c>
      <c r="J369" s="270">
        <f ca="1">IFERROR(__xludf.DUMMYFUNCTION("IMPORTRANGE(""https://docs.google.com/spreadsheets/d/1XWAQStnk-4SwqDmLtmXYiTMKHgktTP8We1SCoS47DrQ/edit?usp=sharing"",""จัดที่ดิน!F61"")"),0)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IFERROR(__xludf.DUMMYFUNCTION("IMPORTRANGE(""https://docs.google.com/spreadsheets/d/1QqKyyYR6Q21VydFLVH3TRQUabQu_ym0Zz7PgGX0-kHA/edit?usp=sharing"",""แผน!EJ61"")"),0)</f>
        <v>0</v>
      </c>
      <c r="J370" s="270">
        <f ca="1">IFERROR(__xludf.DUMMYFUNCTION("IMPORTRANGE(""https://docs.google.com/spreadsheets/d/1XWAQStnk-4SwqDmLtmXYiTMKHgktTP8We1SCoS47DrQ/edit?usp=sharing"",""จัดที่ดิน!G61"")"),0)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IFERROR(__xludf.DUMMYFUNCTION("IMPORTRANGE(""https://docs.google.com/spreadsheets/d/1XWAQStnk-4SwqDmLtmXYiTMKHgktTP8We1SCoS47DrQ/edit?usp=sharing"",""จัดที่ดิน!H61"")"),0)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IFERROR(__xludf.DUMMYFUNCTION("IMPORTRANGE(""https://docs.google.com/spreadsheets/d/1QqKyyYR6Q21VydFLVH3TRQUabQu_ym0Zz7PgGX0-kHA/edit?usp=sharing"",""แผน!EJ61"")"),0)</f>
        <v>0</v>
      </c>
      <c r="J372" s="270">
        <f ca="1">IFERROR(__xludf.DUMMYFUNCTION("IMPORTRANGE(""https://docs.google.com/spreadsheets/d/1XWAQStnk-4SwqDmLtmXYiTMKHgktTP8We1SCoS47DrQ/edit?usp=sharing"",""จัดที่ดิน!I61"")"),0)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IFERROR(__xludf.DUMMYFUNCTION("IMPORTRANGE(""https://docs.google.com/spreadsheets/d/1XWAQStnk-4SwqDmLtmXYiTMKHgktTP8We1SCoS47DrQ/edit?usp=sharing"",""จัดที่ดิน!J61"")"),0)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IFERROR(__xludf.DUMMYFUNCTION("IMPORTRANGE(""https://docs.google.com/spreadsheets/d/1QqKyyYR6Q21VydFLVH3TRQUabQu_ym0Zz7PgGX0-kHA/edit?usp=sharing"",""แผน!EU61"")"),0)</f>
        <v>0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IFERROR(__xludf.DUMMYFUNCTION("IMPORTRANGE(""https://docs.google.com/spreadsheets/d/1XWAQStnk-4SwqDmLtmXYiTMKHgktTP8We1SCoS47DrQ/edit?usp=sharing"",""จัดที่ดิน!AH61"")"),0)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IFERROR(__xludf.DUMMYFUNCTION("IMPORTRANGE(""https://docs.google.com/spreadsheets/d/1QqKyyYR6Q21VydFLVH3TRQUabQu_ym0Zz7PgGX0-kHA/edit?usp=sharing"",""แผน!ET61"")"),0)</f>
        <v>0</v>
      </c>
      <c r="J378" s="270">
        <f ca="1">IFERROR(__xludf.DUMMYFUNCTION("IMPORTRANGE(""https://docs.google.com/spreadsheets/d/1XWAQStnk-4SwqDmLtmXYiTMKHgktTP8We1SCoS47DrQ/edit?usp=sharing"",""จัดที่ดิน!AI61"")"),0)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IFERROR(__xludf.DUMMYFUNCTION("IMPORTRANGE(""https://docs.google.com/spreadsheets/d/1QqKyyYR6Q21VydFLVH3TRQUabQu_ym0Zz7PgGX0-kHA/edit?usp=sharing"",""แผน!EU61"")"),0)</f>
        <v>0</v>
      </c>
      <c r="J379" s="270">
        <f ca="1">IFERROR(__xludf.DUMMYFUNCTION("IMPORTRANGE(""https://docs.google.com/spreadsheets/d/1XWAQStnk-4SwqDmLtmXYiTMKHgktTP8We1SCoS47DrQ/edit?usp=sharing"",""จัดที่ดิน!AJ61"")"),0)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IFERROR(__xludf.DUMMYFUNCTION("IMPORTRANGE(""https://docs.google.com/spreadsheets/d/1XWAQStnk-4SwqDmLtmXYiTMKHgktTP8We1SCoS47DrQ/edit?usp=sharing"",""จัดที่ดิน!AK61"")"),0)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IFERROR(__xludf.DUMMYFUNCTION("IMPORTRANGE(""https://docs.google.com/spreadsheets/d/1QqKyyYR6Q21VydFLVH3TRQUabQu_ym0Zz7PgGX0-kHA/edit?usp=sharing"",""แผน!EU61"")"),0)</f>
        <v>0</v>
      </c>
      <c r="J381" s="270">
        <f ca="1">IFERROR(__xludf.DUMMYFUNCTION("IMPORTRANGE(""https://docs.google.com/spreadsheets/d/1XWAQStnk-4SwqDmLtmXYiTMKHgktTP8We1SCoS47DrQ/edit?usp=sharing"",""จัดที่ดิน!AL61"")"),0)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IFERROR(__xludf.DUMMYFUNCTION("IMPORTRANGE(""https://docs.google.com/spreadsheets/d/1XWAQStnk-4SwqDmLtmXYiTMKHgktTP8We1SCoS47DrQ/edit?usp=sharing"",""จัดที่ดิน!AM61"")"),0)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IFERROR(__xludf.DUMMYFUNCTION("IMPORTRANGE(""https://docs.google.com/spreadsheets/d/1QqKyyYR6Q21VydFLVH3TRQUabQu_ym0Zz7PgGX0-kHA/edit?usp=sharing"",""แผน!EW61"")"),0)</f>
        <v>0</v>
      </c>
      <c r="J385" s="501">
        <f ca="1">IFERROR(__xludf.DUMMYFUNCTION("IMPORTRANGE(""https://docs.google.com/spreadsheets/d/1XWAQStnk-4SwqDmLtmXYiTMKHgktTP8We1SCoS47DrQ/edit?usp=sharing"",""จัดที่ดิน!AP61"")"),2)</f>
        <v>2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IFERROR(__xludf.DUMMYFUNCTION("IMPORTRANGE(""https://docs.google.com/spreadsheets/d/1MeEWN-I1oV_STSDYn1IFDPWt_1FKiwhDph83XaGc0o0/edit?usp=sharing"",""งบพรบ!FG61"")"),0)</f>
        <v>0</v>
      </c>
      <c r="M394" s="93">
        <f ca="1">IFERROR(__xludf.DUMMYFUNCTION("IMPORTRANGE(""https://docs.google.com/spreadsheets/d/1MeEWN-I1oV_STSDYn1IFDPWt_1FKiwhDph83XaGc0o0/edit?usp=sharing"",""งบพรบ!FL61"")"),0)</f>
        <v>0</v>
      </c>
      <c r="N394" s="93">
        <f ca="1">IFERROR(__xludf.DUMMYFUNCTION("IMPORTRANGE(""https://docs.google.com/spreadsheets/d/1MeEWN-I1oV_STSDYn1IFDPWt_1FKiwhDph83XaGc0o0/edit?usp=sharing"",""งบพรบ!FN61"")"),0)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IFERROR(__xludf.DUMMYFUNCTION("IMPORTRANGE(""https://docs.google.com/spreadsheets/d/1MeEWN-I1oV_STSDYn1IFDPWt_1FKiwhDph83XaGc0o0/edit?usp=sharing"",""งบพรบ!FJ61"")"),0)</f>
        <v>0</v>
      </c>
      <c r="M397" s="93">
        <f ca="1">IFERROR(__xludf.DUMMYFUNCTION("IMPORTRANGE(""https://docs.google.com/spreadsheets/d/1MeEWN-I1oV_STSDYn1IFDPWt_1FKiwhDph83XaGc0o0/edit?usp=sharing"",""งบพรบ!FM61"")"),0)</f>
        <v>0</v>
      </c>
      <c r="N397" s="93">
        <f ca="1">IFERROR(__xludf.DUMMYFUNCTION("IMPORTRANGE(""https://docs.google.com/spreadsheets/d/1MeEWN-I1oV_STSDYn1IFDPWt_1FKiwhDph83XaGc0o0/edit?usp=sharing"",""งบพรบ!FO61"")"),0)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IFERROR(__xludf.DUMMYFUNCTION("IMPORTRANGE(""https://docs.google.com/spreadsheets/d/1MeEWN-I1oV_STSDYn1IFDPWt_1FKiwhDph83XaGc0o0/edit?usp=sharing"",""งบพรบ!FQ61"")"),0)</f>
        <v>0</v>
      </c>
      <c r="M407" s="93">
        <f ca="1">IFERROR(__xludf.DUMMYFUNCTION("IMPORTRANGE(""https://docs.google.com/spreadsheets/d/1MeEWN-I1oV_STSDYn1IFDPWt_1FKiwhDph83XaGc0o0/edit?usp=sharing"",""งบพรบ!FV61"")"),0)</f>
        <v>0</v>
      </c>
      <c r="N407" s="93">
        <f ca="1">IFERROR(__xludf.DUMMYFUNCTION("IMPORTRANGE(""https://docs.google.com/spreadsheets/d/1MeEWN-I1oV_STSDYn1IFDPWt_1FKiwhDph83XaGc0o0/edit?usp=sharing"",""งบพรบ!FX61"")"),0)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IFERROR(__xludf.DUMMYFUNCTION("IMPORTRANGE(""https://docs.google.com/spreadsheets/d/1MeEWN-I1oV_STSDYn1IFDPWt_1FKiwhDph83XaGc0o0/edit?usp=sharing"",""งบพรบ!FT61"")"),0)</f>
        <v>0</v>
      </c>
      <c r="M410" s="93">
        <f ca="1">IFERROR(__xludf.DUMMYFUNCTION("IMPORTRANGE(""https://docs.google.com/spreadsheets/d/1MeEWN-I1oV_STSDYn1IFDPWt_1FKiwhDph83XaGc0o0/edit?usp=sharing"",""งบพรบ!FW61"")"),0)</f>
        <v>0</v>
      </c>
      <c r="N410" s="93">
        <f ca="1">IFERROR(__xludf.DUMMYFUNCTION("IMPORTRANGE(""https://docs.google.com/spreadsheets/d/1MeEWN-I1oV_STSDYn1IFDPWt_1FKiwhDph83XaGc0o0/edit?usp=sharing"",""งบพรบ!FY61"")"),0)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289870</v>
      </c>
      <c r="M414" s="549">
        <f t="shared" ca="1" si="181"/>
        <v>289870</v>
      </c>
      <c r="N414" s="549">
        <f t="shared" si="181"/>
        <v>158365</v>
      </c>
      <c r="O414" s="549">
        <f ca="1">IF(L414&gt;0,N414*100/L414,0)</f>
        <v>54.633111394763169</v>
      </c>
      <c r="P414" s="549">
        <f ca="1">IF(M414&gt;0,N414*100/M414,0)</f>
        <v>54.633111394763169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49195</v>
      </c>
      <c r="O419" s="155">
        <f t="shared" ref="O419:O424" ca="1" si="185">IF(L419&gt;0,N419*100/L419,0)</f>
        <v>73.910757211538467</v>
      </c>
      <c r="P419" s="155">
        <f t="shared" ref="P419:P424" ca="1" si="186">IF(M419&gt;0,N419*100/M419,0)</f>
        <v>73.910757211538467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49195</v>
      </c>
      <c r="O421" s="93">
        <f t="shared" ca="1" si="185"/>
        <v>73.910757211538467</v>
      </c>
      <c r="P421" s="93">
        <f t="shared" ca="1" si="186"/>
        <v>73.910757211538467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49195</v>
      </c>
      <c r="O422" s="497">
        <f t="shared" ca="1" si="185"/>
        <v>73.910757211538467</v>
      </c>
      <c r="P422" s="497">
        <f t="shared" ca="1" si="186"/>
        <v>73.910757211538467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IFERROR(__xludf.DUMMYFUNCTION("IMPORTRANGE(""https://docs.google.com/spreadsheets/d/1QqKyyYR6Q21VydFLVH3TRQUabQu_ym0Zz7PgGX0-kHA/edit?usp=sharing"",""แผน!EY61"")"),66560)</f>
        <v>66560</v>
      </c>
      <c r="M424" s="93">
        <f ca="1">L424</f>
        <v>66560</v>
      </c>
      <c r="N424" s="93">
        <f>N425+N426+N427+N428</f>
        <v>49195</v>
      </c>
      <c r="O424" s="93">
        <f t="shared" ca="1" si="185"/>
        <v>73.910757211538467</v>
      </c>
      <c r="P424" s="93">
        <f t="shared" ca="1" si="186"/>
        <v>73.910757211538467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12895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IFERROR(__xludf.DUMMYFUNCTION("IMPORTRANGE(""https://docs.google.com/spreadsheets/d/1QqKyyYR6Q21VydFLVH3TRQUabQu_ym0Zz7PgGX0-kHA/edit?usp=sharing"",""แผน!FC61"")"),15)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IFERROR(__xludf.DUMMYFUNCTION("IMPORTRANGE(""https://docs.google.com/spreadsheets/d/1QqKyyYR6Q21VydFLVH3TRQUabQu_ym0Zz7PgGX0-kHA/edit?usp=sharing"",""แผน!FD61"")"),0)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IFERROR(__xludf.DUMMYFUNCTION("IMPORTRANGE(""https://docs.google.com/spreadsheets/d/1QqKyyYR6Q21VydFLVH3TRQUabQu_ym0Zz7PgGX0-kHA/edit?usp=sharing"",""แผน!FF61"")"),15)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70660</v>
      </c>
      <c r="M444" s="195">
        <f t="shared" ca="1" si="197"/>
        <v>70660</v>
      </c>
      <c r="N444" s="195">
        <f t="shared" si="197"/>
        <v>55280</v>
      </c>
      <c r="O444" s="195">
        <f t="shared" ref="O444:O449" ca="1" si="198">IF(L444&gt;0,N444*100/L444,0)</f>
        <v>78.233795641098212</v>
      </c>
      <c r="P444" s="195">
        <f t="shared" ref="P444:P449" ca="1" si="199">IF(M444&gt;0,N444*100/M444,0)</f>
        <v>78.233795641098212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70660</v>
      </c>
      <c r="M446" s="93">
        <f t="shared" ca="1" si="200"/>
        <v>70660</v>
      </c>
      <c r="N446" s="93">
        <f t="shared" si="200"/>
        <v>55280</v>
      </c>
      <c r="O446" s="93">
        <f t="shared" ca="1" si="198"/>
        <v>78.233795641098212</v>
      </c>
      <c r="P446" s="93">
        <f t="shared" ca="1" si="199"/>
        <v>78.233795641098212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70660</v>
      </c>
      <c r="M447" s="497">
        <f t="shared" ca="1" si="201"/>
        <v>70660</v>
      </c>
      <c r="N447" s="497">
        <f t="shared" si="201"/>
        <v>55280</v>
      </c>
      <c r="O447" s="497">
        <f t="shared" ca="1" si="198"/>
        <v>78.233795641098212</v>
      </c>
      <c r="P447" s="497">
        <f t="shared" ca="1" si="199"/>
        <v>78.233795641098212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IFERROR(__xludf.DUMMYFUNCTION("IMPORTRANGE(""https://docs.google.com/spreadsheets/d/1QqKyyYR6Q21VydFLVH3TRQUabQu_ym0Zz7PgGX0-kHA/edit?usp=sharing"",""แผน!FJ61"")"),70660)</f>
        <v>70660</v>
      </c>
      <c r="M449" s="93">
        <f ca="1">L449</f>
        <v>70660</v>
      </c>
      <c r="N449" s="93">
        <f>N450+N451+N452+N453</f>
        <v>55280</v>
      </c>
      <c r="O449" s="93">
        <f t="shared" ca="1" si="198"/>
        <v>78.233795641098212</v>
      </c>
      <c r="P449" s="93">
        <f t="shared" ca="1" si="199"/>
        <v>78.233795641098212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21540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28400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5340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IFERROR(__xludf.DUMMYFUNCTION("IMPORTRANGE(""https://docs.google.com/spreadsheets/d/1QqKyyYR6Q21VydFLVH3TRQUabQu_ym0Zz7PgGX0-kHA/edit?usp=sharing"",""แผน!FN61"")"),10)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IFERROR(__xludf.DUMMYFUNCTION("IMPORTRANGE(""https://docs.google.com/spreadsheets/d/1QqKyyYR6Q21VydFLVH3TRQUabQu_ym0Zz7PgGX0-kHA/edit?usp=sharing"",""แผน!FO61"")"),20)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IFERROR(__xludf.DUMMYFUNCTION("IMPORTRANGE(""https://docs.google.com/spreadsheets/d/1QqKyyYR6Q21VydFLVH3TRQUabQu_ym0Zz7PgGX0-kHA/edit?usp=sharing"",""แผน!FO61"")"),20)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IFERROR(__xludf.DUMMYFUNCTION("IMPORTRANGE(""https://docs.google.com/spreadsheets/d/1QqKyyYR6Q21VydFLVH3TRQUabQu_ym0Zz7PgGX0-kHA/edit?usp=sharing"",""แผน!FN61"")"),10)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IFERROR(__xludf.DUMMYFUNCTION("IMPORTRANGE(""https://docs.google.com/spreadsheets/d/1QqKyyYR6Q21VydFLVH3TRQUabQu_ym0Zz7PgGX0-kHA/edit?usp=sharing"",""แผน!FX61"")"),0)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IFERROR(__xludf.DUMMYFUNCTION("IMPORTRANGE(""https://docs.google.com/spreadsheets/d/1QqKyyYR6Q21VydFLVH3TRQUabQu_ym0Zz7PgGX0-kHA/edit?usp=sharing"",""แผน!FW61"")"),0)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IFERROR(__xludf.DUMMYFUNCTION("IMPORTRANGE(""https://docs.google.com/spreadsheets/d/1QqKyyYR6Q21VydFLVH3TRQUabQu_ym0Zz7PgGX0-kHA/edit?usp=sharing"",""แผน!FS61"")"),0)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IFERROR(__xludf.DUMMYFUNCTION("IMPORTRANGE(""https://docs.google.com/spreadsheets/d/1QqKyyYR6Q21VydFLVH3TRQUabQu_ym0Zz7PgGX0-kHA/edit?usp=sharing"",""แผน!GU61"")"),0)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73200</v>
      </c>
      <c r="M544" s="155">
        <f t="shared" ca="1" si="236"/>
        <v>73200</v>
      </c>
      <c r="N544" s="155">
        <f t="shared" si="236"/>
        <v>25680</v>
      </c>
      <c r="O544" s="155">
        <f t="shared" ref="O544:O549" ca="1" si="237">IF(L544&gt;0,N544*100/L544,0)</f>
        <v>35.081967213114751</v>
      </c>
      <c r="P544" s="155">
        <f t="shared" ref="P544:P549" ca="1" si="238">IF(M544&gt;0,N544*100/M544,0)</f>
        <v>35.081967213114751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73200</v>
      </c>
      <c r="M546" s="93">
        <f t="shared" ca="1" si="240"/>
        <v>73200</v>
      </c>
      <c r="N546" s="93">
        <f t="shared" si="240"/>
        <v>25680</v>
      </c>
      <c r="O546" s="93">
        <f t="shared" ca="1" si="237"/>
        <v>35.081967213114751</v>
      </c>
      <c r="P546" s="93">
        <f t="shared" ca="1" si="238"/>
        <v>35.081967213114751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73200</v>
      </c>
      <c r="M547" s="497">
        <f t="shared" ca="1" si="241"/>
        <v>73200</v>
      </c>
      <c r="N547" s="497">
        <f t="shared" si="241"/>
        <v>25680</v>
      </c>
      <c r="O547" s="497">
        <f t="shared" ca="1" si="237"/>
        <v>35.081967213114751</v>
      </c>
      <c r="P547" s="497">
        <f t="shared" ca="1" si="238"/>
        <v>35.081967213114751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IFERROR(__xludf.DUMMYFUNCTION("IMPORTRANGE(""https://docs.google.com/spreadsheets/d/1QqKyyYR6Q21VydFLVH3TRQUabQu_ym0Zz7PgGX0-kHA/edit?usp=sharing"",""แผน!HB61"")"),73200)</f>
        <v>73200</v>
      </c>
      <c r="M549" s="93">
        <f ca="1">L549</f>
        <v>73200</v>
      </c>
      <c r="N549" s="93">
        <f>N550+N551+N552+N553+N554</f>
        <v>25680</v>
      </c>
      <c r="O549" s="93">
        <f t="shared" ca="1" si="237"/>
        <v>35.081967213114751</v>
      </c>
      <c r="P549" s="93">
        <f t="shared" ca="1" si="238"/>
        <v>35.081967213114751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25680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IFERROR(__xludf.DUMMYFUNCTION("IMPORTRANGE(""https://docs.google.com/spreadsheets/d/1QqKyyYR6Q21VydFLVH3TRQUabQu_ym0Zz7PgGX0-kHA/edit?usp=sharing"",""แผน!HH61"")"),0)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IFERROR(__xludf.DUMMYFUNCTION("IMPORTRANGE(""https://docs.google.com/spreadsheets/d/1QqKyyYR6Q21VydFLVH3TRQUabQu_ym0Zz7PgGX0-kHA/edit?usp=sharing"",""แผน!HG61"")"),0)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IFERROR(__xludf.DUMMYFUNCTION("IMPORTRANGE(""https://docs.google.com/spreadsheets/d/1QqKyyYR6Q21VydFLVH3TRQUabQu_ym0Zz7PgGX0-kHA/edit?usp=sharing"",""แผน!HH61"")"),0)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IFERROR(__xludf.DUMMYFUNCTION("IMPORTRANGE(""https://docs.google.com/spreadsheets/d/1QqKyyYR6Q21VydFLVH3TRQUabQu_ym0Zz7PgGX0-kHA/edit?usp=sharing"",""แผน!HG61"")"),0)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IFERROR(__xludf.DUMMYFUNCTION("IMPORTRANGE(""https://docs.google.com/spreadsheets/d/1QqKyyYR6Q21VydFLVH3TRQUabQu_ym0Zz7PgGX0-kHA/edit?usp=sharing"",""แผน!HH61"")"),0)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IFERROR(__xludf.DUMMYFUNCTION("IMPORTRANGE(""https://docs.google.com/spreadsheets/d/1QqKyyYR6Q21VydFLVH3TRQUabQu_ym0Zz7PgGX0-kHA/edit?usp=sharing"",""แผน!HG61"")"),0)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148.13999999999999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IFERROR(__xludf.DUMMYFUNCTION("IMPORTRANGE(""https://docs.google.com/spreadsheets/d/1QqKyyYR6Q21VydFLVH3TRQUabQu_ym0Zz7PgGX0-kHA/edit?usp=sharing"",""แผน!HJ61"")"),148.14)</f>
        <v>148.13999999999999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IFERROR(__xludf.DUMMYFUNCTION("IMPORTRANGE(""https://docs.google.com/spreadsheets/d/1QqKyyYR6Q21VydFLVH3TRQUabQu_ym0Zz7PgGX0-kHA/edit?usp=sharing"",""แผน!HI61"")"),24)</f>
        <v>24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900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IFERROR(__xludf.DUMMYFUNCTION("IMPORTRANGE(""https://docs.google.com/spreadsheets/d/1QqKyyYR6Q21VydFLVH3TRQUabQu_ym0Zz7PgGX0-kHA/edit?usp=sharing"",""แผน!HL61"")"),0)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IFERROR(__xludf.DUMMYFUNCTION("IMPORTRANGE(""https://docs.google.com/spreadsheets/d/1QqKyyYR6Q21VydFLVH3TRQUabQu_ym0Zz7PgGX0-kHA/edit?usp=sharing"",""แผน!HK61"")"),0)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IFERROR(__xludf.DUMMYFUNCTION("IMPORTRANGE(""https://docs.google.com/spreadsheets/d/1QqKyyYR6Q21VydFLVH3TRQUabQu_ym0Zz7PgGX0-kHA/edit?usp=sharing"",""แผน!HN61"")"),0)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IFERROR(__xludf.DUMMYFUNCTION("IMPORTRANGE(""https://docs.google.com/spreadsheets/d/1XWAQStnk-4SwqDmLtmXYiTMKHgktTP8We1SCoS47DrQ/edit?usp=sharing"",""จัดที่ดิน!AS61"")"),0)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IFERROR(__xludf.DUMMYFUNCTION("IMPORTRANGE(""https://docs.google.com/spreadsheets/d/1XWAQStnk-4SwqDmLtmXYiTMKHgktTP8We1SCoS47DrQ/edit?usp=sharing"",""จัดที่ดิน!AT61"")"),0)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IFERROR(__xludf.DUMMYFUNCTION("IMPORTRANGE(""https://docs.google.com/spreadsheets/d/1QqKyyYR6Q21VydFLVH3TRQUabQu_ym0Zz7PgGX0-kHA/edit?usp=sharing"",""แผน!HS61"")"),0)</f>
        <v>0</v>
      </c>
      <c r="J647" s="270">
        <f ca="1">IFERROR(__xludf.DUMMYFUNCTION("IMPORTRANGE(""https://docs.google.com/spreadsheets/d/1XWAQStnk-4SwqDmLtmXYiTMKHgktTP8We1SCoS47DrQ/edit?usp=sharing"",""จัดที่ดิน!AU61"")"),0)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IFERROR(__xludf.DUMMYFUNCTION("IMPORTRANGE(""https://docs.google.com/spreadsheets/d/1XWAQStnk-4SwqDmLtmXYiTMKHgktTP8We1SCoS47DrQ/edit?usp=sharing"",""จัดที่ดิน!AV61"")"),0)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IFERROR(__xludf.DUMMYFUNCTION("IMPORTRANGE(""https://docs.google.com/spreadsheets/d/1QqKyyYR6Q21VydFLVH3TRQUabQu_ym0Zz7PgGX0-kHA/edit?usp=sharing"",""แผน!HS61"")"),0)</f>
        <v>0</v>
      </c>
      <c r="J649" s="270">
        <f ca="1">IFERROR(__xludf.DUMMYFUNCTION("IMPORTRANGE(""https://docs.google.com/spreadsheets/d/1XWAQStnk-4SwqDmLtmXYiTMKHgktTP8We1SCoS47DrQ/edit?usp=sharing"",""จัดที่ดิน!AW61"")"),0)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IFERROR(__xludf.DUMMYFUNCTION("IMPORTRANGE(""https://docs.google.com/spreadsheets/d/1XWAQStnk-4SwqDmLtmXYiTMKHgktTP8We1SCoS47DrQ/edit?usp=sharing"",""จัดที่ดิน!AX61"")"),0)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IFERROR(__xludf.DUMMYFUNCTION("IMPORTRANGE(""https://docs.google.com/spreadsheets/d/1QqKyyYR6Q21VydFLVH3TRQUabQu_ym0Zz7PgGX0-kHA/edit?usp=sharing"",""แผน!HS61"")"),0)</f>
        <v>0</v>
      </c>
      <c r="J651" s="270">
        <f ca="1">IFERROR(__xludf.DUMMYFUNCTION("IMPORTRANGE(""https://docs.google.com/spreadsheets/d/1XWAQStnk-4SwqDmLtmXYiTMKHgktTP8We1SCoS47DrQ/edit?usp=sharing"",""จัดที่ดิน!AY61"")"),0)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IFERROR(__xludf.DUMMYFUNCTION("IMPORTRANGE(""https://docs.google.com/spreadsheets/d/1XWAQStnk-4SwqDmLtmXYiTMKHgktTP8We1SCoS47DrQ/edit?usp=sharing"",""จัดที่ดิน!AZ61"")"),0)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IFERROR(__xludf.DUMMYFUNCTION("IMPORTRANGE(""https://docs.google.com/spreadsheets/d/1QqKyyYR6Q21VydFLVH3TRQUabQu_ym0Zz7PgGX0-kHA/edit?usp=sharing"",""แผน!IA61"")"),0)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79450</v>
      </c>
      <c r="M685" s="195">
        <f t="shared" ca="1" si="282"/>
        <v>79450</v>
      </c>
      <c r="N685" s="195">
        <f t="shared" si="282"/>
        <v>28210</v>
      </c>
      <c r="O685" s="195">
        <f t="shared" ref="O685:O688" ca="1" si="283">IF(L685&gt;0,N685*100/L685,0)</f>
        <v>35.506607929515418</v>
      </c>
      <c r="P685" s="195">
        <f t="shared" ref="P685:P688" ca="1" si="284">IF(M685&gt;0,N685*100/M685,0)</f>
        <v>35.506607929515418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79450</v>
      </c>
      <c r="M687" s="93">
        <f t="shared" ca="1" si="285"/>
        <v>79450</v>
      </c>
      <c r="N687" s="93">
        <f t="shared" si="285"/>
        <v>28210</v>
      </c>
      <c r="O687" s="93">
        <f t="shared" ca="1" si="283"/>
        <v>35.506607929515418</v>
      </c>
      <c r="P687" s="93">
        <f t="shared" ca="1" si="284"/>
        <v>35.506607929515418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79450</v>
      </c>
      <c r="M688" s="497">
        <f t="shared" ca="1" si="286"/>
        <v>79450</v>
      </c>
      <c r="N688" s="497">
        <f t="shared" si="286"/>
        <v>28210</v>
      </c>
      <c r="O688" s="497">
        <f t="shared" ca="1" si="283"/>
        <v>35.506607929515418</v>
      </c>
      <c r="P688" s="497">
        <f t="shared" ca="1" si="284"/>
        <v>35.506607929515418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IFERROR(__xludf.DUMMYFUNCTION("IMPORTRANGE(""https://docs.google.com/spreadsheets/d/1QqKyyYR6Q21VydFLVH3TRQUabQu_ym0Zz7PgGX0-kHA/edit?usp=sharing"",""แผน!HW61"")"),79450)</f>
        <v>79450</v>
      </c>
      <c r="M690" s="93">
        <f ca="1">L690</f>
        <v>79450</v>
      </c>
      <c r="N690" s="93">
        <f>N691+N692+N693+N694</f>
        <v>28210</v>
      </c>
      <c r="O690" s="93">
        <f ca="1">IF(L690&gt;0,N690*100/L690,0)</f>
        <v>35.506607929515418</v>
      </c>
      <c r="P690" s="93">
        <f ca="1">IF(M690&gt;0,N690*100/M690,0)</f>
        <v>35.506607929515418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28210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IFERROR(__xludf.DUMMYFUNCTION("IMPORTRANGE(""https://docs.google.com/spreadsheets/d/1QqKyyYR6Q21VydFLVH3TRQUabQu_ym0Zz7PgGX0-kHA/edit?usp=sharing"",""แผน!IC61"")"),0)</f>
        <v>0</v>
      </c>
      <c r="J699" s="270">
        <f ca="1">IFERROR(__xludf.DUMMYFUNCTION("IMPORTRANGE(""https://docs.google.com/spreadsheets/d/1XWAQStnk-4SwqDmLtmXYiTMKHgktTP8We1SCoS47DrQ/edit?usp=sharing"",""จัดที่ดิน!BB61"")"),0)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IFERROR(__xludf.DUMMYFUNCTION("IMPORTRANGE(""https://docs.google.com/spreadsheets/d/1QqKyyYR6Q21VydFLVH3TRQUabQu_ym0Zz7PgGX0-kHA/edit?usp=sharing"",""แผน!ID61"")"),0)</f>
        <v>0</v>
      </c>
      <c r="J700" s="270">
        <f ca="1">IFERROR(__xludf.DUMMYFUNCTION("IMPORTRANGE(""https://docs.google.com/spreadsheets/d/1XWAQStnk-4SwqDmLtmXYiTMKHgktTP8We1SCoS47DrQ/edit?usp=sharing"",""จัดที่ดิน!BD61"")"),7)</f>
        <v>7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IFERROR(__xludf.DUMMYFUNCTION("IMPORTRANGE(""https://docs.google.com/spreadsheets/d/1QqKyyYR6Q21VydFLVH3TRQUabQu_ym0Zz7PgGX0-kHA/edit?usp=sharing"",""แผน!IE61"")"),300)</f>
        <v>300</v>
      </c>
      <c r="J701" s="676">
        <f>J704+J707</f>
        <v>318.53199999999998</v>
      </c>
      <c r="K701" s="195">
        <f t="shared" ca="1" si="290"/>
        <v>106.17733333333332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42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45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IFERROR(__xludf.DUMMYFUNCTION("IMPORTRANGE(""https://docs.google.com/spreadsheets/d/1QqKyyYR6Q21VydFLVH3TRQUabQu_ym0Zz7PgGX0-kHA/edit?usp=sharing"",""แผน!IF61"")"),300)</f>
        <v>300</v>
      </c>
      <c r="J704" s="900">
        <v>318.53199999999998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IFERROR(__xludf.DUMMYFUNCTION("IMPORTRANGE(""https://docs.google.com/spreadsheets/d/1QqKyyYR6Q21VydFLVH3TRQUabQu_ym0Zz7PgGX0-kHA/edit?usp=sharing"",""แผน!IH61"")"),350)</f>
        <v>350</v>
      </c>
      <c r="J708" s="676">
        <f>J714+J717</f>
        <v>350</v>
      </c>
      <c r="K708" s="195">
        <f ca="1">IF(I708&gt;0,J708*100/I708,0)</f>
        <v>100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25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350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23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15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169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10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181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IFERROR(__xludf.DUMMYFUNCTION("IMPORTRANGE(""https://docs.google.com/spreadsheets/d/1XWAQStnk-4SwqDmLtmXYiTMKHgktTP8We1SCoS47DrQ/edit?usp=sharing"",""จัดที่ดิน!BF61"")"),18)</f>
        <v>18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IFERROR(__xludf.DUMMYFUNCTION("IMPORTRANGE(""https://docs.google.com/spreadsheets/d/1XWAQStnk-4SwqDmLtmXYiTMKHgktTP8We1SCoS47DrQ/edit?usp=sharing"",""จัดที่ดิน!BG61"")"),20)</f>
        <v>20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IFERROR(__xludf.DUMMYFUNCTION("IMPORTRANGE(""https://docs.google.com/spreadsheets/d/1QqKyyYR6Q21VydFLVH3TRQUabQu_ym0Zz7PgGX0-kHA/edit?usp=sharing"",""แผน!II61"")"),585)</f>
        <v>585</v>
      </c>
      <c r="J720" s="270">
        <f ca="1">IFERROR(__xludf.DUMMYFUNCTION("IMPORTRANGE(""https://docs.google.com/spreadsheets/d/1XWAQStnk-4SwqDmLtmXYiTMKHgktTP8We1SCoS47DrQ/edit?usp=sharing"",""จัดที่ดิน!BH61"")"),187.12)</f>
        <v>187.12</v>
      </c>
      <c r="K720" s="497">
        <f t="shared" ref="K720:K723" ca="1" si="291">IF(I720&gt;0,J720*100/I720,0)</f>
        <v>31.986324786324786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IFERROR(__xludf.DUMMYFUNCTION("IMPORTRANGE(""https://docs.google.com/spreadsheets/d/1QqKyyYR6Q21VydFLVH3TRQUabQu_ym0Zz7PgGX0-kHA/edit?usp=sharing"",""แผน!IJ61"")"),40)</f>
        <v>40</v>
      </c>
      <c r="J721" s="676">
        <f ca="1">J723+J726</f>
        <v>2</v>
      </c>
      <c r="K721" s="195">
        <f t="shared" ca="1" si="291"/>
        <v>5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IFERROR(__xludf.DUMMYFUNCTION("IMPORTRANGE(""https://docs.google.com/spreadsheets/d/1QqKyyYR6Q21VydFLVH3TRQUabQu_ym0Zz7PgGX0-kHA/edit?usp=sharing"",""แผน!IK61"")"),400)</f>
        <v>400</v>
      </c>
      <c r="J722" s="676">
        <f ca="1">J725+J728</f>
        <v>53.69</v>
      </c>
      <c r="K722" s="195">
        <f t="shared" ca="1" si="291"/>
        <v>13.422499999999999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IFERROR(__xludf.DUMMYFUNCTION("IMPORTRANGE(""https://docs.google.com/spreadsheets/d/1QqKyyYR6Q21VydFLVH3TRQUabQu_ym0Zz7PgGX0-kHA/edit?usp=sharing"",""แผน!IL61"")"),20)</f>
        <v>20</v>
      </c>
      <c r="J723" s="270">
        <f ca="1">IFERROR(__xludf.DUMMYFUNCTION("IMPORTRANGE(""https://docs.google.com/spreadsheets/d/1XWAQStnk-4SwqDmLtmXYiTMKHgktTP8We1SCoS47DrQ/edit?usp=sharing"",""จัดที่ดิน!BM61"")"),2)</f>
        <v>2</v>
      </c>
      <c r="K723" s="497">
        <f t="shared" ca="1" si="291"/>
        <v>10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IFERROR(__xludf.DUMMYFUNCTION("IMPORTRANGE(""https://docs.google.com/spreadsheets/d/1XWAQStnk-4SwqDmLtmXYiTMKHgktTP8We1SCoS47DrQ/edit?usp=sharing"",""จัดที่ดิน!BN61"")"),2)</f>
        <v>2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IFERROR(__xludf.DUMMYFUNCTION("IMPORTRANGE(""https://docs.google.com/spreadsheets/d/1QqKyyYR6Q21VydFLVH3TRQUabQu_ym0Zz7PgGX0-kHA/edit?usp=sharing"",""แผน!IM61"")"),200)</f>
        <v>200</v>
      </c>
      <c r="J725" s="270">
        <f ca="1">IFERROR(__xludf.DUMMYFUNCTION("IMPORTRANGE(""https://docs.google.com/spreadsheets/d/1XWAQStnk-4SwqDmLtmXYiTMKHgktTP8We1SCoS47DrQ/edit?usp=sharing"",""จัดที่ดิน!BO61"")"),53.69)</f>
        <v>53.69</v>
      </c>
      <c r="K725" s="497">
        <f t="shared" ref="K725:K726" ca="1" si="292">IF(I725&gt;0,J725*100/I725,0)</f>
        <v>26.844999999999999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IFERROR(__xludf.DUMMYFUNCTION("IMPORTRANGE(""https://docs.google.com/spreadsheets/d/1QqKyyYR6Q21VydFLVH3TRQUabQu_ym0Zz7PgGX0-kHA/edit?usp=sharing"",""แผน!IN61"")"),20)</f>
        <v>20</v>
      </c>
      <c r="J726" s="270">
        <f ca="1">IFERROR(__xludf.DUMMYFUNCTION("IMPORTRANGE(""https://docs.google.com/spreadsheets/d/1XWAQStnk-4SwqDmLtmXYiTMKHgktTP8We1SCoS47DrQ/edit?usp=sharing"",""จัดที่ดิน!BR61"")"),0)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IFERROR(__xludf.DUMMYFUNCTION("IMPORTRANGE(""https://docs.google.com/spreadsheets/d/1QqKyyYR6Q21VydFLVH3TRQUabQu_ym0Zz7PgGX0-kHA/edit?usp=sharing"",""แผน!IO61"")"),200)</f>
        <v>200</v>
      </c>
      <c r="J728" s="270">
        <f ca="1">IFERROR(__xludf.DUMMYFUNCTION("IMPORTRANGE(""https://docs.google.com/spreadsheets/d/1XWAQStnk-4SwqDmLtmXYiTMKHgktTP8We1SCoS47DrQ/edit?usp=sharing"",""จัดที่ดิน!BT61"")"),0)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IFERROR(__xludf.DUMMYFUNCTION("IMPORTRANGE(""https://docs.google.com/spreadsheets/d/1QqKyyYR6Q21VydFLVH3TRQUabQu_ym0Zz7PgGX0-kHA/edit?usp=sharing"",""แผน!IP61"")"),50)</f>
        <v>50</v>
      </c>
      <c r="J729" s="676">
        <f>J732+J735</f>
        <v>76.137500000000003</v>
      </c>
      <c r="K729" s="195">
        <f t="shared" ca="1" si="293"/>
        <v>152.27500000000001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900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7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4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901">
        <v>76.137500000000003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IFERROR(__xludf.DUMMYFUNCTION("IMPORTRANGE(""https://docs.google.com/spreadsheets/d/1QqKyyYR6Q21VydFLVH3TRQUabQu_ym0Zz7PgGX0-kHA/edit?usp=sharing"",""แผน!JN61"")"),0)</f>
        <v>0</v>
      </c>
      <c r="J800" s="184">
        <f ca="1">IFERROR(__xludf.DUMMYFUNCTION("IMPORTRANGE(""https://docs.google.com/spreadsheets/d/1MaWodYyGHDf7siQLGxnXhG4mBNTNIuy296niS2xXulU/edit?usp=sharing"",""RTK!H61"")"),0)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70">
        <f ca="1">IFERROR(__xludf.DUMMYFUNCTION("IMPORTRANGE(""https://docs.google.com/spreadsheets/d/19vJNZY_5yjcGF2XGBMNZRCAIB0Kwfpjp8YEOfu-bneM/edit?usp=sharing"",""งานกองทุน!F61"")"),985499.99)</f>
        <v>985499.99</v>
      </c>
      <c r="K821" s="497">
        <f t="shared" ref="K821:K828" ca="1" si="335">IF(I821&gt;0,J821*100/I821,0)</f>
        <v>100.56122449552269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IFERROR(__xludf.DUMMYFUNCTION("IMPORTRANGE(""https://docs.google.com/spreadsheets/d/19vJNZY_5yjcGF2XGBMNZRCAIB0Kwfpjp8YEOfu-bneM/edit?usp=sharing"",""งานกองทุน!C61"")"),32)</f>
        <v>32</v>
      </c>
      <c r="J822" s="270">
        <f ca="1">IFERROR(__xludf.DUMMYFUNCTION("IMPORTRANGE(""https://docs.google.com/spreadsheets/d/19vJNZY_5yjcGF2XGBMNZRCAIB0Kwfpjp8YEOfu-bneM/edit?usp=sharing"",""งานกองทุน!E61"")"),33)</f>
        <v>33</v>
      </c>
      <c r="K822" s="497">
        <f t="shared" ca="1" si="335"/>
        <v>103.125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70">
        <f ca="1">IFERROR(__xludf.DUMMYFUNCTION("IMPORTRANGE(""https://docs.google.com/spreadsheets/d/19vJNZY_5yjcGF2XGBMNZRCAIB0Kwfpjp8YEOfu-bneM/edit?usp=sharing"",""งานกองทุน!K61"")"),439747.98)</f>
        <v>439747.98</v>
      </c>
      <c r="K823" s="497">
        <f t="shared" ca="1" si="335"/>
        <v>206.86148223389222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IFERROR(__xludf.DUMMYFUNCTION("IMPORTRANGE(""https://docs.google.com/spreadsheets/d/19vJNZY_5yjcGF2XGBMNZRCAIB0Kwfpjp8YEOfu-bneM/edit?usp=sharing"",""งานกองทุน!H61"")"),8)</f>
        <v>8</v>
      </c>
      <c r="J824" s="270">
        <f ca="1">IFERROR(__xludf.DUMMYFUNCTION("IMPORTRANGE(""https://docs.google.com/spreadsheets/d/19vJNZY_5yjcGF2XGBMNZRCAIB0Kwfpjp8YEOfu-bneM/edit?usp=sharing"",""งานกองทุน!J61"")"),11)</f>
        <v>11</v>
      </c>
      <c r="K824" s="497">
        <f t="shared" ca="1" si="335"/>
        <v>137.5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70">
        <f ca="1">IFERROR(__xludf.DUMMYFUNCTION("IMPORTRANGE(""https://docs.google.com/spreadsheets/d/19vJNZY_5yjcGF2XGBMNZRCAIB0Kwfpjp8YEOfu-bneM/edit?usp=sharing"",""งานกองทุน!P61"")"),1379020.02)</f>
        <v>1379020.02</v>
      </c>
      <c r="K825" s="497">
        <f t="shared" ca="1" si="335"/>
        <v>47.120372821364896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IFERROR(__xludf.DUMMYFUNCTION("IMPORTRANGE(""https://docs.google.com/spreadsheets/d/19vJNZY_5yjcGF2XGBMNZRCAIB0Kwfpjp8YEOfu-bneM/edit?usp=sharing"",""งานกองทุน!M61"")"),1916)</f>
        <v>1916</v>
      </c>
      <c r="J826" s="270">
        <f ca="1">IFERROR(__xludf.DUMMYFUNCTION("IMPORTRANGE(""https://docs.google.com/spreadsheets/d/19vJNZY_5yjcGF2XGBMNZRCAIB0Kwfpjp8YEOfu-bneM/edit?usp=sharing"",""งานกองทุน!O61"")"),1530)</f>
        <v>1530</v>
      </c>
      <c r="K826" s="497">
        <f t="shared" ca="1" si="335"/>
        <v>79.853862212943639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IFERROR(__xludf.DUMMYFUNCTION("IMPORTRANGE(""https://docs.google.com/spreadsheets/d/19vJNZY_5yjcGF2XGBMNZRCAIB0Kwfpjp8YEOfu-bneM/edit?usp=sharing"",""งานกองทุน!S61"")"),1080000)</f>
        <v>1080000</v>
      </c>
      <c r="J827" s="270">
        <f ca="1">IFERROR(__xludf.DUMMYFUNCTION("IMPORTRANGE(""https://docs.google.com/spreadsheets/d/19vJNZY_5yjcGF2XGBMNZRCAIB0Kwfpjp8YEOfu-bneM/edit?usp=sharing"",""งานกองทุน!U61"")"),860000)</f>
        <v>860000</v>
      </c>
      <c r="K827" s="497">
        <f t="shared" ca="1" si="335"/>
        <v>79.629629629629633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IFERROR(__xludf.DUMMYFUNCTION("IMPORTRANGE(""https://docs.google.com/spreadsheets/d/19vJNZY_5yjcGF2XGBMNZRCAIB0Kwfpjp8YEOfu-bneM/edit?usp=sharing"",""งานกองทุน!R61"")"),42)</f>
        <v>42</v>
      </c>
      <c r="J828" s="501">
        <f ca="1">IFERROR(__xludf.DUMMYFUNCTION("IMPORTRANGE(""https://docs.google.com/spreadsheets/d/19vJNZY_5yjcGF2XGBMNZRCAIB0Kwfpjp8YEOfu-bneM/edit?usp=sharing"",""งานกองทุน!T61"")"),30)</f>
        <v>30</v>
      </c>
      <c r="K828" s="502">
        <f t="shared" ca="1" si="335"/>
        <v>71.428571428571431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2D28-DC5B-4873-87B6-258CFF4D8D90}">
  <sheetPr codeName="Sheet11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3206275</v>
      </c>
      <c r="M8" s="22">
        <f t="shared" ca="1" si="0"/>
        <v>3226896</v>
      </c>
      <c r="N8" s="22">
        <f t="shared" ca="1" si="0"/>
        <v>2355468.17</v>
      </c>
      <c r="O8" s="22">
        <f t="shared" ref="O8:O16" ca="1" si="1">IF(L8&gt;0,N8*100/L8,0)</f>
        <v>73.464321369813874</v>
      </c>
      <c r="P8" s="22">
        <f t="shared" ref="P8:P16" ca="1" si="2">IF(M8&gt;0,N8*100/M8,0)</f>
        <v>72.994858526584068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3206275</v>
      </c>
      <c r="M10" s="30">
        <f t="shared" ca="1" si="3"/>
        <v>3226896</v>
      </c>
      <c r="N10" s="30">
        <f t="shared" ca="1" si="3"/>
        <v>2355468.17</v>
      </c>
      <c r="O10" s="30">
        <f t="shared" ca="1" si="1"/>
        <v>73.464321369813874</v>
      </c>
      <c r="P10" s="30">
        <f t="shared" ca="1" si="2"/>
        <v>72.994858526584068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3054675</v>
      </c>
      <c r="M11" s="497">
        <f t="shared" ca="1" si="4"/>
        <v>3075296</v>
      </c>
      <c r="N11" s="497">
        <f t="shared" ca="1" si="4"/>
        <v>2203868.17</v>
      </c>
      <c r="O11" s="497">
        <f t="shared" ca="1" si="1"/>
        <v>72.147386219483252</v>
      </c>
      <c r="P11" s="497">
        <f t="shared" ca="1" si="2"/>
        <v>71.663611242625095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3054675</v>
      </c>
      <c r="M13" s="93">
        <f t="shared" ca="1" si="5"/>
        <v>3075296</v>
      </c>
      <c r="N13" s="93">
        <f t="shared" ca="1" si="5"/>
        <v>2203868.17</v>
      </c>
      <c r="O13" s="93">
        <f t="shared" ca="1" si="1"/>
        <v>72.147386219483252</v>
      </c>
      <c r="P13" s="93">
        <f t="shared" ca="1" si="2"/>
        <v>71.663611242625095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2083810</v>
      </c>
      <c r="M18" s="22">
        <f t="shared" ca="1" si="8"/>
        <v>2104431</v>
      </c>
      <c r="N18" s="22">
        <f t="shared" ca="1" si="8"/>
        <v>1596467.56</v>
      </c>
      <c r="O18" s="22">
        <f t="shared" ref="O18:O26" ca="1" si="9">IF(L18&gt;0,N18*100/L18,0)</f>
        <v>76.612913845312193</v>
      </c>
      <c r="P18" s="22">
        <f t="shared" ref="P18:P26" ca="1" si="10">IF(M18&gt;0,N18*100/M18,0)</f>
        <v>75.862195529337853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2083810</v>
      </c>
      <c r="M20" s="30">
        <f t="shared" ca="1" si="11"/>
        <v>2104431</v>
      </c>
      <c r="N20" s="30">
        <f t="shared" ca="1" si="11"/>
        <v>1596467.56</v>
      </c>
      <c r="O20" s="30">
        <f t="shared" ca="1" si="9"/>
        <v>76.612913845312193</v>
      </c>
      <c r="P20" s="30">
        <f t="shared" ca="1" si="10"/>
        <v>75.862195529337853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1932210</v>
      </c>
      <c r="M21" s="497">
        <f t="shared" ca="1" si="12"/>
        <v>1952831</v>
      </c>
      <c r="N21" s="497">
        <f t="shared" ca="1" si="12"/>
        <v>1444867.56</v>
      </c>
      <c r="O21" s="497">
        <f t="shared" ca="1" si="9"/>
        <v>74.777977549024172</v>
      </c>
      <c r="P21" s="497">
        <f t="shared" ca="1" si="10"/>
        <v>73.988356391310873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1932210</v>
      </c>
      <c r="M23" s="93">
        <f t="shared" ca="1" si="13"/>
        <v>1952831</v>
      </c>
      <c r="N23" s="93">
        <f t="shared" ca="1" si="13"/>
        <v>1444867.56</v>
      </c>
      <c r="O23" s="93">
        <f t="shared" ca="1" si="9"/>
        <v>74.777977549024172</v>
      </c>
      <c r="P23" s="93">
        <f t="shared" ca="1" si="10"/>
        <v>73.988356391310873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1122465</v>
      </c>
      <c r="M28" s="22">
        <f t="shared" ca="1" si="16"/>
        <v>1122465</v>
      </c>
      <c r="N28" s="22">
        <f t="shared" si="16"/>
        <v>759000.61</v>
      </c>
      <c r="O28" s="22">
        <f t="shared" ref="O28:O37" ca="1" si="17">IF(L28&gt;0,N28*100/L28,0)</f>
        <v>67.619089236635446</v>
      </c>
      <c r="P28" s="22">
        <f t="shared" ref="P28:P37" ca="1" si="18">IF(M28&gt;0,N28*100/M28,0)</f>
        <v>67.619089236635446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1122465</v>
      </c>
      <c r="M30" s="30">
        <f t="shared" ca="1" si="19"/>
        <v>1122465</v>
      </c>
      <c r="N30" s="30">
        <f t="shared" si="19"/>
        <v>759000.61</v>
      </c>
      <c r="O30" s="30">
        <f t="shared" ca="1" si="17"/>
        <v>67.619089236635446</v>
      </c>
      <c r="P30" s="30">
        <f t="shared" ca="1" si="18"/>
        <v>67.619089236635446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1122465</v>
      </c>
      <c r="M31" s="497">
        <f t="shared" ca="1" si="20"/>
        <v>1122465</v>
      </c>
      <c r="N31" s="497">
        <f t="shared" si="20"/>
        <v>759000.61</v>
      </c>
      <c r="O31" s="497">
        <f t="shared" ca="1" si="17"/>
        <v>67.619089236635446</v>
      </c>
      <c r="P31" s="497">
        <f t="shared" ca="1" si="18"/>
        <v>67.619089236635446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1122465</v>
      </c>
      <c r="M33" s="93">
        <f t="shared" ca="1" si="21"/>
        <v>1122465</v>
      </c>
      <c r="N33" s="93">
        <f t="shared" si="21"/>
        <v>759000.61</v>
      </c>
      <c r="O33" s="93">
        <f t="shared" ca="1" si="17"/>
        <v>67.619089236635446</v>
      </c>
      <c r="P33" s="93">
        <f t="shared" ca="1" si="18"/>
        <v>67.619089236635446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2083810</v>
      </c>
      <c r="M37" s="59">
        <f t="shared" ca="1" si="24"/>
        <v>2104431</v>
      </c>
      <c r="N37" s="59">
        <f t="shared" ca="1" si="24"/>
        <v>1596467.56</v>
      </c>
      <c r="O37" s="59">
        <f t="shared" ca="1" si="17"/>
        <v>76.612913845312193</v>
      </c>
      <c r="P37" s="59">
        <f t="shared" ca="1" si="18"/>
        <v>75.862195529337853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284900</v>
      </c>
      <c r="M41" s="85">
        <f t="shared" ca="1" si="25"/>
        <v>299351</v>
      </c>
      <c r="N41" s="85">
        <f t="shared" ca="1" si="25"/>
        <v>268332</v>
      </c>
      <c r="O41" s="85">
        <f t="shared" ref="O41:O49" ca="1" si="26">IF(L41&gt;0,N41*100/L41,0)</f>
        <v>94.184626184626183</v>
      </c>
      <c r="P41" s="85">
        <f t="shared" ref="P41:P49" ca="1" si="27">IF(M41&gt;0,N41*100/M41,0)</f>
        <v>89.637916693112771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284900</v>
      </c>
      <c r="M43" s="92">
        <f t="shared" ca="1" si="28"/>
        <v>299351</v>
      </c>
      <c r="N43" s="92">
        <f t="shared" ca="1" si="28"/>
        <v>268332</v>
      </c>
      <c r="O43" s="92">
        <f t="shared" ca="1" si="26"/>
        <v>94.184626184626183</v>
      </c>
      <c r="P43" s="92">
        <f t="shared" ca="1" si="27"/>
        <v>89.637916693112771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284900</v>
      </c>
      <c r="M44" s="497">
        <f t="shared" ca="1" si="29"/>
        <v>299351</v>
      </c>
      <c r="N44" s="497">
        <f t="shared" ca="1" si="29"/>
        <v>268332</v>
      </c>
      <c r="O44" s="497">
        <f t="shared" ca="1" si="26"/>
        <v>94.184626184626183</v>
      </c>
      <c r="P44" s="497">
        <f t="shared" ca="1" si="27"/>
        <v>89.637916693112771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IFERROR(__xludf.DUMMYFUNCTION("IMPORTRANGE(""https://docs.google.com/spreadsheets/d/1MeEWN-I1oV_STSDYn1IFDPWt_1FKiwhDph83XaGc0o0/edit?usp=sharing"",""งบพรบ!M62"")"),284900)</f>
        <v>284900</v>
      </c>
      <c r="M46" s="93">
        <f ca="1">IFERROR(__xludf.DUMMYFUNCTION("IMPORTRANGE(""https://docs.google.com/spreadsheets/d/1MeEWN-I1oV_STSDYn1IFDPWt_1FKiwhDph83XaGc0o0/edit?usp=sharing"",""งบพรบ!R62"")"),299351)</f>
        <v>299351</v>
      </c>
      <c r="N46" s="93">
        <f ca="1">IFERROR(__xludf.DUMMYFUNCTION("IMPORTRANGE(""https://docs.google.com/spreadsheets/d/1MeEWN-I1oV_STSDYn1IFDPWt_1FKiwhDph83XaGc0o0/edit?usp=sharing"",""งบพรบ!T62"")"),268332)</f>
        <v>268332</v>
      </c>
      <c r="O46" s="93">
        <f t="shared" ca="1" si="26"/>
        <v>94.184626184626183</v>
      </c>
      <c r="P46" s="93">
        <f t="shared" ca="1" si="27"/>
        <v>89.637916693112771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IFERROR(__xludf.DUMMYFUNCTION("IMPORTRANGE(""https://docs.google.com/spreadsheets/d/1MeEWN-I1oV_STSDYn1IFDPWt_1FKiwhDph83XaGc0o0/edit?usp=sharing"",""งบพรบ!P62"")"),0)</f>
        <v>0</v>
      </c>
      <c r="M49" s="52">
        <f ca="1">IFERROR(__xludf.DUMMYFUNCTION("IMPORTRANGE(""https://docs.google.com/spreadsheets/d/1MeEWN-I1oV_STSDYn1IFDPWt_1FKiwhDph83XaGc0o0/edit?usp=sharing"",""งบพรบ!S62"")"),0)</f>
        <v>0</v>
      </c>
      <c r="N49" s="52">
        <f ca="1">IFERROR(__xludf.DUMMYFUNCTION("IMPORTRANGE(""https://docs.google.com/spreadsheets/d/1MeEWN-I1oV_STSDYn1IFDPWt_1FKiwhDph83XaGc0o0/edit?usp=sharing"",""งบพรบ!U62"")"),0)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577900</v>
      </c>
      <c r="M53" s="116">
        <f t="shared" ca="1" si="31"/>
        <v>577900</v>
      </c>
      <c r="N53" s="116">
        <f t="shared" ca="1" si="31"/>
        <v>527595.53</v>
      </c>
      <c r="O53" s="116">
        <f t="shared" ref="O53:O61" ca="1" si="32">IF(L53&gt;0,N53*100/L53,0)</f>
        <v>91.295298494549229</v>
      </c>
      <c r="P53" s="116">
        <f t="shared" ref="P53:P61" ca="1" si="33">IF(M53&gt;0,N53*100/M53,0)</f>
        <v>91.295298494549229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577900</v>
      </c>
      <c r="M55" s="123">
        <f t="shared" ca="1" si="34"/>
        <v>577900</v>
      </c>
      <c r="N55" s="123">
        <f t="shared" ca="1" si="34"/>
        <v>527595.53</v>
      </c>
      <c r="O55" s="123">
        <f t="shared" ca="1" si="32"/>
        <v>91.295298494549229</v>
      </c>
      <c r="P55" s="123">
        <f t="shared" ca="1" si="33"/>
        <v>91.295298494549229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577900</v>
      </c>
      <c r="M56" s="497">
        <f t="shared" ca="1" si="35"/>
        <v>577900</v>
      </c>
      <c r="N56" s="497">
        <f t="shared" ca="1" si="35"/>
        <v>527595.53</v>
      </c>
      <c r="O56" s="497">
        <f t="shared" ca="1" si="32"/>
        <v>91.295298494549229</v>
      </c>
      <c r="P56" s="497">
        <f t="shared" ca="1" si="33"/>
        <v>91.295298494549229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IFERROR(__xludf.DUMMYFUNCTION("IMPORTRANGE(""https://docs.google.com/spreadsheets/d/1MeEWN-I1oV_STSDYn1IFDPWt_1FKiwhDph83XaGc0o0/edit?usp=sharing"",""งบพรบ!W62"")"),577900)</f>
        <v>577900</v>
      </c>
      <c r="M58" s="93">
        <f ca="1">IFERROR(__xludf.DUMMYFUNCTION("IMPORTRANGE(""https://docs.google.com/spreadsheets/d/1MeEWN-I1oV_STSDYn1IFDPWt_1FKiwhDph83XaGc0o0/edit?usp=sharing"",""งบพรบ!AB62"")"),577900)</f>
        <v>577900</v>
      </c>
      <c r="N58" s="93">
        <f ca="1">IFERROR(__xludf.DUMMYFUNCTION("IMPORTRANGE(""https://docs.google.com/spreadsheets/d/1MeEWN-I1oV_STSDYn1IFDPWt_1FKiwhDph83XaGc0o0/edit?usp=sharing"",""งบพรบ!AD62"")"),527595.53)</f>
        <v>527595.53</v>
      </c>
      <c r="O58" s="93">
        <f t="shared" ca="1" si="32"/>
        <v>91.295298494549229</v>
      </c>
      <c r="P58" s="93">
        <f t="shared" ca="1" si="33"/>
        <v>91.295298494549229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IFERROR(__xludf.DUMMYFUNCTION("IMPORTRANGE(""https://docs.google.com/spreadsheets/d/1MeEWN-I1oV_STSDYn1IFDPWt_1FKiwhDph83XaGc0o0/edit?usp=sharing"",""งบพรบ!Z62"")"),0)</f>
        <v>0</v>
      </c>
      <c r="M61" s="52">
        <f ca="1">IFERROR(__xludf.DUMMYFUNCTION("IMPORTRANGE(""https://docs.google.com/spreadsheets/d/1MeEWN-I1oV_STSDYn1IFDPWt_1FKiwhDph83XaGc0o0/edit?usp=sharing"",""งบพรบ!AC62"")"),0)</f>
        <v>0</v>
      </c>
      <c r="N61" s="52">
        <f ca="1">IFERROR(__xludf.DUMMYFUNCTION("IMPORTRANGE(""https://docs.google.com/spreadsheets/d/1MeEWN-I1oV_STSDYn1IFDPWt_1FKiwhDph83XaGc0o0/edit?usp=sharing"",""งบพรบ!AE62"")"),0)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IFERROR(__xludf.DUMMYFUNCTION("IMPORTRANGE(""https://docs.google.com/spreadsheets/d/1MeEWN-I1oV_STSDYn1IFDPWt_1FKiwhDph83XaGc0o0/edit?usp=sharing"",""งบพรบ!AG62"")"),0)</f>
        <v>0</v>
      </c>
      <c r="M71" s="93">
        <f ca="1">IFERROR(__xludf.DUMMYFUNCTION("IMPORTRANGE(""https://docs.google.com/spreadsheets/d/1MeEWN-I1oV_STSDYn1IFDPWt_1FKiwhDph83XaGc0o0/edit?usp=sharing"",""งบพรบ!AL62"")"),0)</f>
        <v>0</v>
      </c>
      <c r="N71" s="93">
        <f ca="1">IFERROR(__xludf.DUMMYFUNCTION("IMPORTRANGE(""https://docs.google.com/spreadsheets/d/1MeEWN-I1oV_STSDYn1IFDPWt_1FKiwhDph83XaGc0o0/edit?usp=sharing"",""งบพรบ!AN62"")"),0)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IFERROR(__xludf.DUMMYFUNCTION("IMPORTRANGE(""https://docs.google.com/spreadsheets/d/1MeEWN-I1oV_STSDYn1IFDPWt_1FKiwhDph83XaGc0o0/edit?usp=sharing"",""งบพรบ!AJ62"")"),0)</f>
        <v>0</v>
      </c>
      <c r="M74" s="93">
        <f ca="1">IFERROR(__xludf.DUMMYFUNCTION("IMPORTRANGE(""https://docs.google.com/spreadsheets/d/1MeEWN-I1oV_STSDYn1IFDPWt_1FKiwhDph83XaGc0o0/edit?usp=sharing"",""งบพรบ!AM62"")"),0)</f>
        <v>0</v>
      </c>
      <c r="N74" s="93">
        <f ca="1">IFERROR(__xludf.DUMMYFUNCTION("IMPORTRANGE(""https://docs.google.com/spreadsheets/d/1MeEWN-I1oV_STSDYn1IFDPWt_1FKiwhDph83XaGc0o0/edit?usp=sharing"",""งบพรบ!AO62"")"),0)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174200</v>
      </c>
      <c r="M88" s="155">
        <f t="shared" ca="1" si="49"/>
        <v>174200</v>
      </c>
      <c r="N88" s="155">
        <f t="shared" ca="1" si="49"/>
        <v>120051.13</v>
      </c>
      <c r="O88" s="155">
        <f t="shared" ref="O88:O96" ca="1" si="50">IF(L88&gt;0,N88*100/L88,0)</f>
        <v>68.915688863375436</v>
      </c>
      <c r="P88" s="155">
        <f t="shared" ref="P88:P96" ca="1" si="51">IF(M88&gt;0,N88*100/M88,0)</f>
        <v>68.915688863375436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174200</v>
      </c>
      <c r="M90" s="93">
        <f t="shared" ca="1" si="52"/>
        <v>174200</v>
      </c>
      <c r="N90" s="93">
        <f t="shared" ca="1" si="52"/>
        <v>120051.13</v>
      </c>
      <c r="O90" s="93">
        <f t="shared" ca="1" si="50"/>
        <v>68.915688863375436</v>
      </c>
      <c r="P90" s="93">
        <f t="shared" ca="1" si="51"/>
        <v>68.915688863375436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174200</v>
      </c>
      <c r="M91" s="497">
        <f t="shared" ca="1" si="53"/>
        <v>174200</v>
      </c>
      <c r="N91" s="497">
        <f t="shared" ca="1" si="53"/>
        <v>120051.13</v>
      </c>
      <c r="O91" s="497">
        <f t="shared" ca="1" si="50"/>
        <v>68.915688863375436</v>
      </c>
      <c r="P91" s="497">
        <f t="shared" ca="1" si="51"/>
        <v>68.915688863375436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IFERROR(__xludf.DUMMYFUNCTION("IMPORTRANGE(""https://docs.google.com/spreadsheets/d/1MeEWN-I1oV_STSDYn1IFDPWt_1FKiwhDph83XaGc0o0/edit?usp=sharing"",""งบพรบ!AQ62"")"),174200)</f>
        <v>174200</v>
      </c>
      <c r="M93" s="93">
        <f ca="1">IFERROR(__xludf.DUMMYFUNCTION("IMPORTRANGE(""https://docs.google.com/spreadsheets/d/1MeEWN-I1oV_STSDYn1IFDPWt_1FKiwhDph83XaGc0o0/edit?usp=sharing"",""งบพรบ!AV62"")"),174200)</f>
        <v>174200</v>
      </c>
      <c r="N93" s="93">
        <f ca="1">IFERROR(__xludf.DUMMYFUNCTION("IMPORTRANGE(""https://docs.google.com/spreadsheets/d/1MeEWN-I1oV_STSDYn1IFDPWt_1FKiwhDph83XaGc0o0/edit?usp=sharing"",""งบพรบ!AX62"")"),120051.13)</f>
        <v>120051.13</v>
      </c>
      <c r="O93" s="93">
        <f t="shared" ca="1" si="50"/>
        <v>68.915688863375436</v>
      </c>
      <c r="P93" s="93">
        <f t="shared" ca="1" si="51"/>
        <v>68.915688863375436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IFERROR(__xludf.DUMMYFUNCTION("IMPORTRANGE(""https://docs.google.com/spreadsheets/d/1MeEWN-I1oV_STSDYn1IFDPWt_1FKiwhDph83XaGc0o0/edit?usp=sharing"",""งบพรบ!AT62"")"),0)</f>
        <v>0</v>
      </c>
      <c r="M96" s="93">
        <f ca="1">IFERROR(__xludf.DUMMYFUNCTION("IMPORTRANGE(""https://docs.google.com/spreadsheets/d/1MeEWN-I1oV_STSDYn1IFDPWt_1FKiwhDph83XaGc0o0/edit?usp=sharing"",""งบพรบ!AW62"")"),0)</f>
        <v>0</v>
      </c>
      <c r="N96" s="93">
        <f ca="1">IFERROR(__xludf.DUMMYFUNCTION("IMPORTRANGE(""https://docs.google.com/spreadsheets/d/1MeEWN-I1oV_STSDYn1IFDPWt_1FKiwhDph83XaGc0o0/edit?usp=sharing"",""งบพรบ!AY62"")"),0)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IFERROR(__xludf.DUMMYFUNCTION("IMPORTRANGE(""https://docs.google.com/spreadsheets/d/1QqKyyYR6Q21VydFLVH3TRQUabQu_ym0Zz7PgGX0-kHA/edit?usp=sharing"",""แผน!K62"")"),0)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IFERROR(__xludf.DUMMYFUNCTION("IMPORTRANGE(""https://docs.google.com/spreadsheets/d/1QqKyyYR6Q21VydFLVH3TRQUabQu_ym0Zz7PgGX0-kHA/edit?usp=sharing"",""แผน!L62"")"),0)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IFERROR(__xludf.DUMMYFUNCTION("IMPORTRANGE(""https://docs.google.com/spreadsheets/d/1QqKyyYR6Q21VydFLVH3TRQUabQu_ym0Zz7PgGX0-kHA/edit?usp=sharing"",""แผน!N62"")"),0)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IFERROR(__xludf.DUMMYFUNCTION("IMPORTRANGE(""https://docs.google.com/spreadsheets/d/1QqKyyYR6Q21VydFLVH3TRQUabQu_ym0Zz7PgGX0-kHA/edit?usp=sharing"",""แผน!O62"")"),0)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IFERROR(__xludf.DUMMYFUNCTION("IMPORTRANGE(""https://docs.google.com/spreadsheets/d/1QqKyyYR6Q21VydFLVH3TRQUabQu_ym0Zz7PgGX0-kHA/edit?usp=sharing"",""แผน!O62"")"),0)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IFERROR(__xludf.DUMMYFUNCTION("IMPORTRANGE(""https://docs.google.com/spreadsheets/d/1QqKyyYR6Q21VydFLVH3TRQUabQu_ym0Zz7PgGX0-kHA/edit?usp=sharing"",""แผน!P62"")"),0)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IFERROR(__xludf.DUMMYFUNCTION("IMPORTRANGE(""https://docs.google.com/spreadsheets/d/1QqKyyYR6Q21VydFLVH3TRQUabQu_ym0Zz7PgGX0-kHA/edit?usp=sharing"",""แผน!P62"")"),0)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IFERROR(__xludf.DUMMYFUNCTION("IMPORTRANGE(""https://docs.google.com/spreadsheets/d/1QqKyyYR6Q21VydFLVH3TRQUabQu_ym0Zz7PgGX0-kHA/edit?usp=sharing"",""แผน!R62"")"),0)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IFERROR(__xludf.DUMMYFUNCTION("IMPORTRANGE(""https://docs.google.com/spreadsheets/d/1QqKyyYR6Q21VydFLVH3TRQUabQu_ym0Zz7PgGX0-kHA/edit?usp=sharing"",""แผน!R62"")"),0)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IFERROR(__xludf.DUMMYFUNCTION("IMPORTRANGE(""https://docs.google.com/spreadsheets/d/1QqKyyYR6Q21VydFLVH3TRQUabQu_ym0Zz7PgGX0-kHA/edit?usp=sharing"",""แผน!R62"")"),0)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IFERROR(__xludf.DUMMYFUNCTION("IMPORTRANGE(""https://docs.google.com/spreadsheets/d/1QqKyyYR6Q21VydFLVH3TRQUabQu_ym0Zz7PgGX0-kHA/edit?usp=sharing"",""แผน!S62"")"),0)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IFERROR(__xludf.DUMMYFUNCTION("IMPORTRANGE(""https://docs.google.com/spreadsheets/d/1MeEWN-I1oV_STSDYn1IFDPWt_1FKiwhDph83XaGc0o0/edit?usp=sharing"",""งบพรบ!BA62"")"),0)</f>
        <v>0</v>
      </c>
      <c r="M124" s="93">
        <f ca="1">IFERROR(__xludf.DUMMYFUNCTION("IMPORTRANGE(""https://docs.google.com/spreadsheets/d/1MeEWN-I1oV_STSDYn1IFDPWt_1FKiwhDph83XaGc0o0/edit?usp=sharing"",""งบพรบ!BF62"")"),0)</f>
        <v>0</v>
      </c>
      <c r="N124" s="93">
        <f ca="1">IFERROR(__xludf.DUMMYFUNCTION("IMPORTRANGE(""https://docs.google.com/spreadsheets/d/1MeEWN-I1oV_STSDYn1IFDPWt_1FKiwhDph83XaGc0o0/edit?usp=sharing"",""งบพรบ!BH62"")"),0)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IFERROR(__xludf.DUMMYFUNCTION("IMPORTRANGE(""https://docs.google.com/spreadsheets/d/1MeEWN-I1oV_STSDYn1IFDPWt_1FKiwhDph83XaGc0o0/edit?usp=sharing"",""งบพรบ!BD62"")"),0)</f>
        <v>0</v>
      </c>
      <c r="M127" s="93">
        <f ca="1">IFERROR(__xludf.DUMMYFUNCTION("IMPORTRANGE(""https://docs.google.com/spreadsheets/d/1MeEWN-I1oV_STSDYn1IFDPWt_1FKiwhDph83XaGc0o0/edit?usp=sharing"",""งบพรบ!BG62"")"),0)</f>
        <v>0</v>
      </c>
      <c r="N127" s="93">
        <f ca="1">IFERROR(__xludf.DUMMYFUNCTION("IMPORTRANGE(""https://docs.google.com/spreadsheets/d/1MeEWN-I1oV_STSDYn1IFDPWt_1FKiwhDph83XaGc0o0/edit?usp=sharing"",""งบพรบ!BI62"")"),0)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IFERROR(__xludf.DUMMYFUNCTION("IMPORTRANGE(""https://docs.google.com/spreadsheets/d/1MeEWN-I1oV_STSDYn1IFDPWt_1FKiwhDph83XaGc0o0/edit?usp=sharing"",""งบพรบ!BK62"")"),0)</f>
        <v>0</v>
      </c>
      <c r="M137" s="93">
        <f ca="1">IFERROR(__xludf.DUMMYFUNCTION("IMPORTRANGE(""https://docs.google.com/spreadsheets/d/1MeEWN-I1oV_STSDYn1IFDPWt_1FKiwhDph83XaGc0o0/edit?usp=sharing"",""งบพรบ!BP62"")"),0)</f>
        <v>0</v>
      </c>
      <c r="N137" s="93">
        <f ca="1">IFERROR(__xludf.DUMMYFUNCTION("IMPORTRANGE(""https://docs.google.com/spreadsheets/d/1MeEWN-I1oV_STSDYn1IFDPWt_1FKiwhDph83XaGc0o0/edit?usp=sharing"",""งบพรบ!BR62"")"),0)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IFERROR(__xludf.DUMMYFUNCTION("IMPORTRANGE(""https://docs.google.com/spreadsheets/d/1MeEWN-I1oV_STSDYn1IFDPWt_1FKiwhDph83XaGc0o0/edit?usp=sharing"",""งบพรบ!BN62"")"),0)</f>
        <v>0</v>
      </c>
      <c r="M140" s="93">
        <f ca="1">IFERROR(__xludf.DUMMYFUNCTION("IMPORTRANGE(""https://docs.google.com/spreadsheets/d/1MeEWN-I1oV_STSDYn1IFDPWt_1FKiwhDph83XaGc0o0/edit?usp=sharing"",""งบพรบ!BQ62"")"),0)</f>
        <v>0</v>
      </c>
      <c r="N140" s="93">
        <f ca="1">IFERROR(__xludf.DUMMYFUNCTION("IMPORTRANGE(""https://docs.google.com/spreadsheets/d/1MeEWN-I1oV_STSDYn1IFDPWt_1FKiwhDph83XaGc0o0/edit?usp=sharing"",""งบพรบ!BS62"")"),0)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16</v>
      </c>
      <c r="K148" s="145">
        <f ca="1">IF(I148&gt;0,J148*100/I148,0)</f>
        <v>80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6300</v>
      </c>
      <c r="O149" s="155">
        <f t="shared" ref="O149:O157" ca="1" si="78">IF(L149&gt;0,N149*100/L149,0)</f>
        <v>63</v>
      </c>
      <c r="P149" s="155">
        <f t="shared" ref="P149:P157" ca="1" si="79">IF(M149&gt;0,N149*100/M149,0)</f>
        <v>63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6300</v>
      </c>
      <c r="O151" s="93">
        <f t="shared" ca="1" si="78"/>
        <v>63</v>
      </c>
      <c r="P151" s="93">
        <f t="shared" ca="1" si="79"/>
        <v>63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6300</v>
      </c>
      <c r="O152" s="497">
        <f t="shared" ca="1" si="78"/>
        <v>63</v>
      </c>
      <c r="P152" s="497">
        <f t="shared" ca="1" si="79"/>
        <v>63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IFERROR(__xludf.DUMMYFUNCTION("IMPORTRANGE(""https://docs.google.com/spreadsheets/d/1MeEWN-I1oV_STSDYn1IFDPWt_1FKiwhDph83XaGc0o0/edit?usp=sharing"",""งบพรบ!BU62"")"),10000)</f>
        <v>10000</v>
      </c>
      <c r="M154" s="93">
        <f ca="1">IFERROR(__xludf.DUMMYFUNCTION("IMPORTRANGE(""https://docs.google.com/spreadsheets/d/1MeEWN-I1oV_STSDYn1IFDPWt_1FKiwhDph83XaGc0o0/edit?usp=sharing"",""งบพรบ!BZ62"")"),10000)</f>
        <v>10000</v>
      </c>
      <c r="N154" s="93">
        <f ca="1">IFERROR(__xludf.DUMMYFUNCTION("IMPORTRANGE(""https://docs.google.com/spreadsheets/d/1MeEWN-I1oV_STSDYn1IFDPWt_1FKiwhDph83XaGc0o0/edit?usp=sharing"",""งบพรบ!CB62"")"),6300)</f>
        <v>6300</v>
      </c>
      <c r="O154" s="93">
        <f t="shared" ca="1" si="78"/>
        <v>63</v>
      </c>
      <c r="P154" s="93">
        <f t="shared" ca="1" si="79"/>
        <v>63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IFERROR(__xludf.DUMMYFUNCTION("IMPORTRANGE(""https://docs.google.com/spreadsheets/d/1MeEWN-I1oV_STSDYn1IFDPWt_1FKiwhDph83XaGc0o0/edit?usp=sharing"",""งบพรบ!BX62"")"),0)</f>
        <v>0</v>
      </c>
      <c r="M157" s="93">
        <f ca="1">IFERROR(__xludf.DUMMYFUNCTION("IMPORTRANGE(""https://docs.google.com/spreadsheets/d/1MeEWN-I1oV_STSDYn1IFDPWt_1FKiwhDph83XaGc0o0/edit?usp=sharing"",""งบพรบ!CA62"")"),0)</f>
        <v>0</v>
      </c>
      <c r="N157" s="93">
        <f ca="1">IFERROR(__xludf.DUMMYFUNCTION("IMPORTRANGE(""https://docs.google.com/spreadsheets/d/1MeEWN-I1oV_STSDYn1IFDPWt_1FKiwhDph83XaGc0o0/edit?usp=sharing"",""งบพรบ!CC62"")"),0)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IFERROR(__xludf.DUMMYFUNCTION("IMPORTRANGE(""https://docs.google.com/spreadsheets/d/1QqKyyYR6Q21VydFLVH3TRQUabQu_ym0Zz7PgGX0-kHA/edit?usp=sharing"",""แผน!X62"")"),20)</f>
        <v>20</v>
      </c>
      <c r="J159" s="215">
        <v>16</v>
      </c>
      <c r="K159" s="497">
        <f ca="1">IF(I159&gt;0,J159*100/I159,0)</f>
        <v>80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32220</v>
      </c>
      <c r="N165" s="155">
        <f t="shared" ca="1" si="84"/>
        <v>32220</v>
      </c>
      <c r="O165" s="155">
        <f t="shared" ref="O165:O173" ca="1" si="85">IF(L165&gt;0,N165*100/L165,0)</f>
        <v>153.06413301662707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32220</v>
      </c>
      <c r="N167" s="93">
        <f t="shared" ca="1" si="87"/>
        <v>32220</v>
      </c>
      <c r="O167" s="93">
        <f t="shared" ca="1" si="85"/>
        <v>153.06413301662707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32220</v>
      </c>
      <c r="N168" s="497">
        <f t="shared" ca="1" si="88"/>
        <v>32220</v>
      </c>
      <c r="O168" s="497">
        <f t="shared" ca="1" si="85"/>
        <v>153.06413301662707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IFERROR(__xludf.DUMMYFUNCTION("IMPORTRANGE(""https://docs.google.com/spreadsheets/d/1MeEWN-I1oV_STSDYn1IFDPWt_1FKiwhDph83XaGc0o0/edit?usp=sharing"",""งบพรบ!CE62"")"),21050)</f>
        <v>21050</v>
      </c>
      <c r="M170" s="93">
        <f ca="1">IFERROR(__xludf.DUMMYFUNCTION("IMPORTRANGE(""https://docs.google.com/spreadsheets/d/1MeEWN-I1oV_STSDYn1IFDPWt_1FKiwhDph83XaGc0o0/edit?usp=sharing"",""งบพรบ!CJ62"")"),32220)</f>
        <v>32220</v>
      </c>
      <c r="N170" s="93">
        <f ca="1">IFERROR(__xludf.DUMMYFUNCTION("IMPORTRANGE(""https://docs.google.com/spreadsheets/d/1MeEWN-I1oV_STSDYn1IFDPWt_1FKiwhDph83XaGc0o0/edit?usp=sharing"",""งบพรบ!CL62"")"),32220)</f>
        <v>32220</v>
      </c>
      <c r="O170" s="93">
        <f t="shared" ca="1" si="85"/>
        <v>153.06413301662707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IFERROR(__xludf.DUMMYFUNCTION("IMPORTRANGE(""https://docs.google.com/spreadsheets/d/1MeEWN-I1oV_STSDYn1IFDPWt_1FKiwhDph83XaGc0o0/edit?usp=sharing"",""งบพรบ!CH62"")"),0)</f>
        <v>0</v>
      </c>
      <c r="M173" s="93">
        <f ca="1">IFERROR(__xludf.DUMMYFUNCTION("IMPORTRANGE(""https://docs.google.com/spreadsheets/d/1MeEWN-I1oV_STSDYn1IFDPWt_1FKiwhDph83XaGc0o0/edit?usp=sharing"",""งบพรบ!CK62"")"),0)</f>
        <v>0</v>
      </c>
      <c r="N173" s="93">
        <f ca="1">IFERROR(__xludf.DUMMYFUNCTION("IMPORTRANGE(""https://docs.google.com/spreadsheets/d/1MeEWN-I1oV_STSDYn1IFDPWt_1FKiwhDph83XaGc0o0/edit?usp=sharing"",""งบพรบ!CM62"")"),0)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IFERROR(__xludf.DUMMYFUNCTION("IMPORTRANGE(""https://docs.google.com/spreadsheets/d/1QqKyyYR6Q21VydFLVH3TRQUabQu_ym0Zz7PgGX0-kHA/edit?usp=sharing"",""แผน!Y62"")"),10)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193000</v>
      </c>
      <c r="M181" s="155">
        <f t="shared" ca="1" si="92"/>
        <v>193000</v>
      </c>
      <c r="N181" s="155">
        <f t="shared" ca="1" si="92"/>
        <v>148570.34</v>
      </c>
      <c r="O181" s="155">
        <f t="shared" ref="O181:O189" ca="1" si="93">IF(L181&gt;0,N181*100/L181,0)</f>
        <v>76.979450777202075</v>
      </c>
      <c r="P181" s="155">
        <f t="shared" ref="P181:P189" ca="1" si="94">IF(M181&gt;0,N181*100/M181,0)</f>
        <v>76.979450777202075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193000</v>
      </c>
      <c r="M183" s="93">
        <f t="shared" ca="1" si="95"/>
        <v>193000</v>
      </c>
      <c r="N183" s="93">
        <f t="shared" ca="1" si="95"/>
        <v>148570.34</v>
      </c>
      <c r="O183" s="93">
        <f t="shared" ca="1" si="93"/>
        <v>76.979450777202075</v>
      </c>
      <c r="P183" s="93">
        <f t="shared" ca="1" si="94"/>
        <v>76.979450777202075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193000</v>
      </c>
      <c r="M184" s="497">
        <f t="shared" ca="1" si="96"/>
        <v>193000</v>
      </c>
      <c r="N184" s="497">
        <f t="shared" ca="1" si="96"/>
        <v>148570.34</v>
      </c>
      <c r="O184" s="497">
        <f t="shared" ca="1" si="93"/>
        <v>76.979450777202075</v>
      </c>
      <c r="P184" s="497">
        <f t="shared" ca="1" si="94"/>
        <v>76.979450777202075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IFERROR(__xludf.DUMMYFUNCTION("IMPORTRANGE(""https://docs.google.com/spreadsheets/d/1MeEWN-I1oV_STSDYn1IFDPWt_1FKiwhDph83XaGc0o0/edit?usp=sharing"",""งบพรบ!CO62"")"),193000)</f>
        <v>193000</v>
      </c>
      <c r="M186" s="93">
        <f ca="1">IFERROR(__xludf.DUMMYFUNCTION("IMPORTRANGE(""https://docs.google.com/spreadsheets/d/1MeEWN-I1oV_STSDYn1IFDPWt_1FKiwhDph83XaGc0o0/edit?usp=sharing"",""งบพรบ!CT62"")"),193000)</f>
        <v>193000</v>
      </c>
      <c r="N186" s="93">
        <f ca="1">IFERROR(__xludf.DUMMYFUNCTION("IMPORTRANGE(""https://docs.google.com/spreadsheets/d/1MeEWN-I1oV_STSDYn1IFDPWt_1FKiwhDph83XaGc0o0/edit?usp=sharing"",""งบพรบ!CV62"")"),148570.34)</f>
        <v>148570.34</v>
      </c>
      <c r="O186" s="93">
        <f t="shared" ca="1" si="93"/>
        <v>76.979450777202075</v>
      </c>
      <c r="P186" s="93">
        <f t="shared" ca="1" si="94"/>
        <v>76.979450777202075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IFERROR(__xludf.DUMMYFUNCTION("IMPORTRANGE(""https://docs.google.com/spreadsheets/d/1MeEWN-I1oV_STSDYn1IFDPWt_1FKiwhDph83XaGc0o0/edit?usp=sharing"",""งบพรบ!CR62"")"),0)</f>
        <v>0</v>
      </c>
      <c r="M189" s="93">
        <f ca="1">IFERROR(__xludf.DUMMYFUNCTION("IMPORTRANGE(""https://docs.google.com/spreadsheets/d/1MeEWN-I1oV_STSDYn1IFDPWt_1FKiwhDph83XaGc0o0/edit?usp=sharing"",""งบพรบ!CU62"")"),0)</f>
        <v>0</v>
      </c>
      <c r="N189" s="93">
        <f ca="1">IFERROR(__xludf.DUMMYFUNCTION("IMPORTRANGE(""https://docs.google.com/spreadsheets/d/1MeEWN-I1oV_STSDYn1IFDPWt_1FKiwhDph83XaGc0o0/edit?usp=sharing"",""งบพรบ!CW62"")"),0)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IFERROR(__xludf.DUMMYFUNCTION("IMPORTRANGE(""https://docs.google.com/spreadsheets/d/1QqKyyYR6Q21VydFLVH3TRQUabQu_ym0Zz7PgGX0-kHA/edit?usp=sharing"",""แผน!Z62"")"),6000)</f>
        <v>6000</v>
      </c>
      <c r="M191" s="155"/>
      <c r="N191" s="276">
        <v>2190</v>
      </c>
      <c r="O191" s="155">
        <f ca="1">IF(L191&gt;0,N191*100/L191,0)</f>
        <v>36.5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IFERROR(__xludf.DUMMYFUNCTION("IMPORTRANGE(""https://docs.google.com/spreadsheets/d/1QqKyyYR6Q21VydFLVH3TRQUabQu_ym0Zz7PgGX0-kHA/edit?usp=sharing"",""แผน!AC62"")"),4)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17135</v>
      </c>
      <c r="O198" s="155">
        <f ca="1">IF(L198&gt;0,N198*100/L198,0)</f>
        <v>65.90384615384616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IFERROR(__xludf.DUMMYFUNCTION("IMPORTRANGE(""https://docs.google.com/spreadsheets/d/1QqKyyYR6Q21VydFLVH3TRQUabQu_ym0Zz7PgGX0-kHA/edit?usp=sharing"",""แผน!AE62"")"),2000)</f>
        <v>2000</v>
      </c>
      <c r="M199" s="497"/>
      <c r="N199" s="284">
        <v>1135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IFERROR(__xludf.DUMMYFUNCTION("IMPORTRANGE(""https://docs.google.com/spreadsheets/d/1QqKyyYR6Q21VydFLVH3TRQUabQu_ym0Zz7PgGX0-kHA/edit?usp=sharing"",""แผน!AF62"")"),16000)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IFERROR(__xludf.DUMMYFUNCTION("IMPORTRANGE(""https://docs.google.com/spreadsheets/d/1QqKyyYR6Q21VydFLVH3TRQUabQu_ym0Zz7PgGX0-kHA/edit?usp=sharing"",""แผน!AG62"")"),8000)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IFERROR(__xludf.DUMMYFUNCTION("IMPORTRANGE(""https://docs.google.com/spreadsheets/d/1QqKyyYR6Q21VydFLVH3TRQUabQu_ym0Zz7PgGX0-kHA/edit?usp=sharing"",""แผน!AI62"")"),2)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/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IFERROR(__xludf.DUMMYFUNCTION("IMPORTRANGE(""https://docs.google.com/spreadsheets/d/1QqKyyYR6Q21VydFLVH3TRQUabQu_ym0Zz7PgGX0-kHA/edit?usp=sharing"",""แผน!AQ62"")"),5000)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IFERROR(__xludf.DUMMYFUNCTION("IMPORTRANGE(""https://docs.google.com/spreadsheets/d/1QqKyyYR6Q21VydFLVH3TRQUabQu_ym0Zz7PgGX0-kHA/edit?usp=sharing"",""แผน!AT62"")"),20000)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IFERROR(__xludf.DUMMYFUNCTION("IMPORTRANGE(""https://docs.google.com/spreadsheets/d/1QqKyyYR6Q21VydFLVH3TRQUabQu_ym0Zz7PgGX0-kHA/edit?usp=sharing"",""แผน!AV62"")"),0)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IFERROR(__xludf.DUMMYFUNCTION("IMPORTRANGE(""https://docs.google.com/spreadsheets/d/1QqKyyYR6Q21VydFLVH3TRQUabQu_ym0Zz7PgGX0-kHA/edit?usp=sharing"",""แผน!AW62"")"),0)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IFERROR(__xludf.DUMMYFUNCTION("IMPORTRANGE(""https://docs.google.com/spreadsheets/d/1QqKyyYR6Q21VydFLVH3TRQUabQu_ym0Zz7PgGX0-kHA/edit?usp=sharing"",""แผน!AX62"")"),0)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IFERROR(__xludf.DUMMYFUNCTION("IMPORTRANGE(""https://docs.google.com/spreadsheets/d/1QqKyyYR6Q21VydFLVH3TRQUabQu_ym0Zz7PgGX0-kHA/edit?usp=sharing"",""แผน!AY62"")"),0)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IFERROR(__xludf.DUMMYFUNCTION("IMPORTRANGE(""https://docs.google.com/spreadsheets/d/1QqKyyYR6Q21VydFLVH3TRQUabQu_ym0Zz7PgGX0-kHA/edit?usp=sharing"",""แผน!AZ62"")"),0)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IFERROR(__xludf.DUMMYFUNCTION("IMPORTRANGE(""https://docs.google.com/spreadsheets/d/1QqKyyYR6Q21VydFLVH3TRQUabQu_ym0Zz7PgGX0-kHA/edit?usp=sharing"",""แผน!BA62"")"),0)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IFERROR(__xludf.DUMMYFUNCTION("IMPORTRANGE(""https://docs.google.com/spreadsheets/d/1QqKyyYR6Q21VydFLVH3TRQUabQu_ym0Zz7PgGX0-kHA/edit?usp=sharing"",""แผน!BB62"")"),0)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IFERROR(__xludf.DUMMYFUNCTION("IMPORTRANGE(""https://docs.google.com/spreadsheets/d/1QqKyyYR6Q21VydFLVH3TRQUabQu_ym0Zz7PgGX0-kHA/edit?usp=sharing"",""แผน!BC62"")"),0)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IFERROR(__xludf.DUMMYFUNCTION("IMPORTRANGE(""https://docs.google.com/spreadsheets/d/1MeEWN-I1oV_STSDYn1IFDPWt_1FKiwhDph83XaGc0o0/edit?usp=sharing"",""งบพรบ!CY62"")"),26900)</f>
        <v>26900</v>
      </c>
      <c r="M266" s="93">
        <f ca="1">IFERROR(__xludf.DUMMYFUNCTION("IMPORTRANGE(""https://docs.google.com/spreadsheets/d/1MeEWN-I1oV_STSDYn1IFDPWt_1FKiwhDph83XaGc0o0/edit?usp=sharing"",""งบพรบ!DD62"")"),26900)</f>
        <v>26900</v>
      </c>
      <c r="N266" s="93">
        <f ca="1">IFERROR(__xludf.DUMMYFUNCTION("IMPORTRANGE(""https://docs.google.com/spreadsheets/d/1MeEWN-I1oV_STSDYn1IFDPWt_1FKiwhDph83XaGc0o0/edit?usp=sharing"",""งบพรบ!DF62"")"),0)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IFERROR(__xludf.DUMMYFUNCTION("IMPORTRANGE(""https://docs.google.com/spreadsheets/d/1MeEWN-I1oV_STSDYn1IFDPWt_1FKiwhDph83XaGc0o0/edit?usp=sharing"",""งบพรบ!DB62"")"),0)</f>
        <v>0</v>
      </c>
      <c r="M269" s="93">
        <f ca="1">IFERROR(__xludf.DUMMYFUNCTION("IMPORTRANGE(""https://docs.google.com/spreadsheets/d/1MeEWN-I1oV_STSDYn1IFDPWt_1FKiwhDph83XaGc0o0/edit?usp=sharing"",""งบพรบ!DE62"")"),0)</f>
        <v>0</v>
      </c>
      <c r="N269" s="93">
        <f ca="1">IFERROR(__xludf.DUMMYFUNCTION("IMPORTRANGE(""https://docs.google.com/spreadsheets/d/1MeEWN-I1oV_STSDYn1IFDPWt_1FKiwhDph83XaGc0o0/edit?usp=sharing"",""งบพรบ!DG62"")"),0)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IFERROR(__xludf.DUMMYFUNCTION("IMPORTRANGE(""https://docs.google.com/spreadsheets/d/1QqKyyYR6Q21VydFLVH3TRQUabQu_ym0Zz7PgGX0-kHA/edit?usp=sharing"",""แผน!EA62"")"),22)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IFERROR(__xludf.DUMMYFUNCTION("IMPORTRANGE(""https://docs.google.com/spreadsheets/d/1MeEWN-I1oV_STSDYn1IFDPWt_1FKiwhDph83XaGc0o0/edit?usp=sharing"",""งบพรบ!DI62"")"),0)</f>
        <v>0</v>
      </c>
      <c r="M282" s="93">
        <f ca="1">IFERROR(__xludf.DUMMYFUNCTION("IMPORTRANGE(""https://docs.google.com/spreadsheets/d/1MeEWN-I1oV_STSDYn1IFDPWt_1FKiwhDph83XaGc0o0/edit?usp=sharing"",""งบพรบ!DN62"")"),0)</f>
        <v>0</v>
      </c>
      <c r="N282" s="93">
        <f ca="1">IFERROR(__xludf.DUMMYFUNCTION("IMPORTRANGE(""https://docs.google.com/spreadsheets/d/1MeEWN-I1oV_STSDYn1IFDPWt_1FKiwhDph83XaGc0o0/edit?usp=sharing"",""งบพรบ!DP62"")"),0)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IFERROR(__xludf.DUMMYFUNCTION("IMPORTRANGE(""https://docs.google.com/spreadsheets/d/1MeEWN-I1oV_STSDYn1IFDPWt_1FKiwhDph83XaGc0o0/edit?usp=sharing"",""งบพรบ!DL62"")"),0)</f>
        <v>0</v>
      </c>
      <c r="M285" s="93">
        <f ca="1">IFERROR(__xludf.DUMMYFUNCTION("IMPORTRANGE(""https://docs.google.com/spreadsheets/d/1MeEWN-I1oV_STSDYn1IFDPWt_1FKiwhDph83XaGc0o0/edit?usp=sharing"",""งบพรบ!DO62"")"),0)</f>
        <v>0</v>
      </c>
      <c r="N285" s="93">
        <f ca="1">IFERROR(__xludf.DUMMYFUNCTION("IMPORTRANGE(""https://docs.google.com/spreadsheets/d/1MeEWN-I1oV_STSDYn1IFDPWt_1FKiwhDph83XaGc0o0/edit?usp=sharing"",""งบพรบ!DQ62"")"),0)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IFERROR(__xludf.DUMMYFUNCTION("IMPORTRANGE(""https://docs.google.com/spreadsheets/d/1QqKyyYR6Q21VydFLVH3TRQUabQu_ym0Zz7PgGX0-kHA/edit?usp=sharing"",""แผน!EC62"")"),0)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IFERROR(__xludf.DUMMYFUNCTION("IMPORTRANGE(""https://docs.google.com/spreadsheets/d/1QqKyyYR6Q21VydFLVH3TRQUabQu_ym0Zz7PgGX0-kHA/edit?usp=sharing"",""แผน!EB62"")"),0)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IFERROR(__xludf.DUMMYFUNCTION("IMPORTRANGE(""https://docs.google.com/spreadsheets/d/1QqKyyYR6Q21VydFLVH3TRQUabQu_ym0Zz7PgGX0-kHA/edit?usp=sharing"",""แผน!EB62"")"),0)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IFERROR(__xludf.DUMMYFUNCTION("IMPORTRANGE(""https://docs.google.com/spreadsheets/d/1QqKyyYR6Q21VydFLVH3TRQUabQu_ym0Zz7PgGX0-kHA/edit?usp=sharing"",""แผน!EB62"")"),0)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IFERROR(__xludf.DUMMYFUNCTION("IMPORTRANGE(""https://docs.google.com/spreadsheets/d/1QqKyyYR6Q21VydFLVH3TRQUabQu_ym0Zz7PgGX0-kHA/edit?usp=sharing"",""แผน!EB62"")"),0)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IFERROR(__xludf.DUMMYFUNCTION("IMPORTRANGE(""https://docs.google.com/spreadsheets/d/1QqKyyYR6Q21VydFLVH3TRQUabQu_ym0Zz7PgGX0-kHA/edit?usp=sharing"",""แผน!EB62"")"),0)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IFERROR(__xludf.DUMMYFUNCTION("IMPORTRANGE(""https://docs.google.com/spreadsheets/d/1MeEWN-I1oV_STSDYn1IFDPWt_1FKiwhDph83XaGc0o0/edit?usp=sharing"",""งบพรบ!DS62"")"),0)</f>
        <v>0</v>
      </c>
      <c r="M303" s="93">
        <f ca="1">IFERROR(__xludf.DUMMYFUNCTION("IMPORTRANGE(""https://docs.google.com/spreadsheets/d/1MeEWN-I1oV_STSDYn1IFDPWt_1FKiwhDph83XaGc0o0/edit?usp=sharing"",""งบพรบ!DX62"")"),0)</f>
        <v>0</v>
      </c>
      <c r="N303" s="93">
        <f ca="1">IFERROR(__xludf.DUMMYFUNCTION("IMPORTRANGE(""https://docs.google.com/spreadsheets/d/1MeEWN-I1oV_STSDYn1IFDPWt_1FKiwhDph83XaGc0o0/edit?usp=sharing"",""งบพรบ!DZ62"")"),0)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IFERROR(__xludf.DUMMYFUNCTION("IMPORTRANGE(""https://docs.google.com/spreadsheets/d/1MeEWN-I1oV_STSDYn1IFDPWt_1FKiwhDph83XaGc0o0/edit?usp=sharing"",""งบพรบ!DV62"")"),0)</f>
        <v>0</v>
      </c>
      <c r="M306" s="93">
        <f ca="1">IFERROR(__xludf.DUMMYFUNCTION("IMPORTRANGE(""https://docs.google.com/spreadsheets/d/1MeEWN-I1oV_STSDYn1IFDPWt_1FKiwhDph83XaGc0o0/edit?usp=sharing"",""งบพรบ!DY62"")"),0)</f>
        <v>0</v>
      </c>
      <c r="N306" s="93">
        <f ca="1">IFERROR(__xludf.DUMMYFUNCTION("IMPORTRANGE(""https://docs.google.com/spreadsheets/d/1MeEWN-I1oV_STSDYn1IFDPWt_1FKiwhDph83XaGc0o0/edit?usp=sharing"",""งบพรบ!EA62"")"),0)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IFERROR(__xludf.DUMMYFUNCTION("IMPORTRANGE(""https://docs.google.com/spreadsheets/d/1MeEWN-I1oV_STSDYn1IFDPWt_1FKiwhDph83XaGc0o0/edit?usp=sharing"",""งบพรบ!EC62"")"),0)</f>
        <v>0</v>
      </c>
      <c r="M320" s="93">
        <f ca="1">IFERROR(__xludf.DUMMYFUNCTION("IMPORTRANGE(""https://docs.google.com/spreadsheets/d/1MeEWN-I1oV_STSDYn1IFDPWt_1FKiwhDph83XaGc0o0/edit?usp=sharing"",""งบพรบ!EH62"")"),0)</f>
        <v>0</v>
      </c>
      <c r="N320" s="93">
        <f ca="1">IFERROR(__xludf.DUMMYFUNCTION("IMPORTRANGE(""https://docs.google.com/spreadsheets/d/1MeEWN-I1oV_STSDYn1IFDPWt_1FKiwhDph83XaGc0o0/edit?usp=sharing"",""งบพรบ!EJ62"")"),0)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IFERROR(__xludf.DUMMYFUNCTION("IMPORTRANGE(""https://docs.google.com/spreadsheets/d/1MeEWN-I1oV_STSDYn1IFDPWt_1FKiwhDph83XaGc0o0/edit?usp=sharing"",""งบพรบ!EF62"")"),0)</f>
        <v>0</v>
      </c>
      <c r="M323" s="93">
        <f ca="1">IFERROR(__xludf.DUMMYFUNCTION("IMPORTRANGE(""https://docs.google.com/spreadsheets/d/1MeEWN-I1oV_STSDYn1IFDPWt_1FKiwhDph83XaGc0o0/edit?usp=sharing"",""งบพรบ!EI62"")"),0)</f>
        <v>0</v>
      </c>
      <c r="N323" s="93">
        <f ca="1">IFERROR(__xludf.DUMMYFUNCTION("IMPORTRANGE(""https://docs.google.com/spreadsheets/d/1MeEWN-I1oV_STSDYn1IFDPWt_1FKiwhDph83XaGc0o0/edit?usp=sharing"",""งบพรบ!EK62"")"),0)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IFERROR(__xludf.DUMMYFUNCTION("IMPORTRANGE(""https://docs.google.com/spreadsheets/d/1QqKyyYR6Q21VydFLVH3TRQUabQu_ym0Zz7PgGX0-kHA/edit?usp=sharing"",""แผน!EG62"")"),800)</f>
        <v>800</v>
      </c>
      <c r="J327" s="444">
        <f ca="1">J338+J341+J342+J343</f>
        <v>1077</v>
      </c>
      <c r="K327" s="445">
        <f ca="1">IF(I327&gt;0,J327*100/I327,0)</f>
        <v>134.625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161500</v>
      </c>
      <c r="N328" s="155">
        <f t="shared" ca="1" si="149"/>
        <v>94176.67</v>
      </c>
      <c r="O328" s="155">
        <f t="shared" ref="O328:O336" ca="1" si="150">IF(L328&gt;0,N328*100/L328,0)</f>
        <v>59.230610062893085</v>
      </c>
      <c r="P328" s="155">
        <f t="shared" ref="P328:P336" ca="1" si="151">IF(M328&gt;0,N328*100/M328,0)</f>
        <v>58.313727554179565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161500</v>
      </c>
      <c r="N330" s="93">
        <f t="shared" ca="1" si="152"/>
        <v>94176.67</v>
      </c>
      <c r="O330" s="93">
        <f t="shared" ca="1" si="150"/>
        <v>59.230610062893085</v>
      </c>
      <c r="P330" s="93">
        <f t="shared" ca="1" si="151"/>
        <v>58.313727554179565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161500</v>
      </c>
      <c r="N331" s="497">
        <f t="shared" ca="1" si="153"/>
        <v>94176.67</v>
      </c>
      <c r="O331" s="497">
        <f t="shared" ca="1" si="150"/>
        <v>59.230610062893085</v>
      </c>
      <c r="P331" s="497">
        <f t="shared" ca="1" si="151"/>
        <v>58.313727554179565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IFERROR(__xludf.DUMMYFUNCTION("IMPORTRANGE(""https://docs.google.com/spreadsheets/d/1MeEWN-I1oV_STSDYn1IFDPWt_1FKiwhDph83XaGc0o0/edit?usp=sharing"",""งบพรบ!EM62"")"),159000)</f>
        <v>159000</v>
      </c>
      <c r="M333" s="93">
        <f ca="1">IFERROR(__xludf.DUMMYFUNCTION("IMPORTRANGE(""https://docs.google.com/spreadsheets/d/1MeEWN-I1oV_STSDYn1IFDPWt_1FKiwhDph83XaGc0o0/edit?usp=sharing"",""งบพรบ!ER62"")"),161500)</f>
        <v>161500</v>
      </c>
      <c r="N333" s="93">
        <f ca="1">IFERROR(__xludf.DUMMYFUNCTION("IMPORTRANGE(""https://docs.google.com/spreadsheets/d/1MeEWN-I1oV_STSDYn1IFDPWt_1FKiwhDph83XaGc0o0/edit?usp=sharing"",""งบพรบ!ET62"")"),94176.67)</f>
        <v>94176.67</v>
      </c>
      <c r="O333" s="93">
        <f t="shared" ca="1" si="150"/>
        <v>59.230610062893085</v>
      </c>
      <c r="P333" s="93">
        <f t="shared" ca="1" si="151"/>
        <v>58.313727554179565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IFERROR(__xludf.DUMMYFUNCTION("IMPORTRANGE(""https://docs.google.com/spreadsheets/d/1MeEWN-I1oV_STSDYn1IFDPWt_1FKiwhDph83XaGc0o0/edit?usp=sharing"",""งบพรบ!EP62"")"),0)</f>
        <v>0</v>
      </c>
      <c r="M336" s="93">
        <f ca="1">IFERROR(__xludf.DUMMYFUNCTION("IMPORTRANGE(""https://docs.google.com/spreadsheets/d/1MeEWN-I1oV_STSDYn1IFDPWt_1FKiwhDph83XaGc0o0/edit?usp=sharing"",""งบพรบ!ES62"")"),0)</f>
        <v>0</v>
      </c>
      <c r="N336" s="93">
        <f ca="1">IFERROR(__xludf.DUMMYFUNCTION("IMPORTRANGE(""https://docs.google.com/spreadsheets/d/1MeEWN-I1oV_STSDYn1IFDPWt_1FKiwhDph83XaGc0o0/edit?usp=sharing"",""งบพรบ!EU62"")"),0)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IFERROR(__xludf.DUMMYFUNCTION("IMPORTRANGE(""https://docs.google.com/spreadsheets/d/1QqKyyYR6Q21VydFLVH3TRQUabQu_ym0Zz7PgGX0-kHA/edit?usp=sharing"",""แผน!EG62"")"),800)</f>
        <v>800</v>
      </c>
      <c r="J338" s="270">
        <f ca="1">IFERROR(__xludf.DUMMYFUNCTION("IMPORTRANGE(""https://docs.google.com/spreadsheets/d/1kVcqe37tkHyjCSG3S0O1AXqVkqjo8mSIZil3BcpIysc/edit?usp=sharing"",""ศูนย์!D62"")"),1030)</f>
        <v>1030</v>
      </c>
      <c r="K338" s="497">
        <f ca="1">IF(I338&gt;0,J338*100/I338,0)</f>
        <v>128.75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IFERROR(__xludf.DUMMYFUNCTION("IMPORTRANGE(""https://docs.google.com/spreadsheets/d/1QqKyyYR6Q21VydFLVH3TRQUabQu_ym0Zz7PgGX0-kHA/edit?usp=sharing"",""แผน!EH62"")"),3)</f>
        <v>3</v>
      </c>
      <c r="J340" s="270">
        <f ca="1">IFERROR(__xludf.DUMMYFUNCTION("IMPORTRANGE(""https://docs.google.com/spreadsheets/d/1kVcqe37tkHyjCSG3S0O1AXqVkqjo8mSIZil3BcpIysc/edit?usp=sharing"",""ศูนย์!E62"")"),0)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IFERROR(__xludf.DUMMYFUNCTION("IMPORTRANGE(""https://docs.google.com/spreadsheets/d/1kVcqe37tkHyjCSG3S0O1AXqVkqjo8mSIZil3BcpIysc/edit?usp=sharing"",""ศูนย์!F62"")"),0)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IFERROR(__xludf.DUMMYFUNCTION("IMPORTRANGE(""https://docs.google.com/spreadsheets/d/1kVcqe37tkHyjCSG3S0O1AXqVkqjo8mSIZil3BcpIysc/edit?usp=sharing"",""ศูนย์!H62"")"),47)</f>
        <v>47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636860</v>
      </c>
      <c r="M345" s="155">
        <f t="shared" ca="1" si="155"/>
        <v>629360</v>
      </c>
      <c r="N345" s="155">
        <f t="shared" ca="1" si="155"/>
        <v>399221.89</v>
      </c>
      <c r="O345" s="155">
        <f t="shared" ref="O345:O353" ca="1" si="156">IF(L345&gt;0,N345*100/L345,0)</f>
        <v>62.685973369343344</v>
      </c>
      <c r="P345" s="155">
        <f t="shared" ref="P345:P353" ca="1" si="157">IF(M345&gt;0,N345*100/M345,0)</f>
        <v>63.43299383500699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636860</v>
      </c>
      <c r="M347" s="93">
        <f t="shared" ca="1" si="158"/>
        <v>629360</v>
      </c>
      <c r="N347" s="93">
        <f t="shared" ca="1" si="158"/>
        <v>399221.89</v>
      </c>
      <c r="O347" s="93">
        <f t="shared" ca="1" si="156"/>
        <v>62.685973369343344</v>
      </c>
      <c r="P347" s="93">
        <f t="shared" ca="1" si="157"/>
        <v>63.43299383500699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485260</v>
      </c>
      <c r="M348" s="497">
        <f t="shared" ca="1" si="159"/>
        <v>477760</v>
      </c>
      <c r="N348" s="497">
        <f t="shared" ca="1" si="159"/>
        <v>247621.89</v>
      </c>
      <c r="O348" s="497">
        <f t="shared" ca="1" si="156"/>
        <v>51.028704199810413</v>
      </c>
      <c r="P348" s="497">
        <f t="shared" ca="1" si="157"/>
        <v>51.829765991292696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IFERROR(__xludf.DUMMYFUNCTION("IMPORTRANGE(""https://docs.google.com/spreadsheets/d/1MeEWN-I1oV_STSDYn1IFDPWt_1FKiwhDph83XaGc0o0/edit?usp=sharing"",""งบพรบ!EW62"")"),485260)</f>
        <v>485260</v>
      </c>
      <c r="M350" s="93">
        <f ca="1">IFERROR(__xludf.DUMMYFUNCTION("IMPORTRANGE(""https://docs.google.com/spreadsheets/d/1MeEWN-I1oV_STSDYn1IFDPWt_1FKiwhDph83XaGc0o0/edit?usp=sharing"",""งบพรบ!FB62"")"),477760)</f>
        <v>477760</v>
      </c>
      <c r="N350" s="93">
        <f ca="1">IFERROR(__xludf.DUMMYFUNCTION("IMPORTRANGE(""https://docs.google.com/spreadsheets/d/1MeEWN-I1oV_STSDYn1IFDPWt_1FKiwhDph83XaGc0o0/edit?usp=sharing"",""งบพรบ!FD62"")"),247621.89)</f>
        <v>247621.89</v>
      </c>
      <c r="O350" s="93">
        <f t="shared" ca="1" si="156"/>
        <v>51.028704199810413</v>
      </c>
      <c r="P350" s="93">
        <f t="shared" ca="1" si="157"/>
        <v>51.829765991292696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IFERROR(__xludf.DUMMYFUNCTION("IMPORTRANGE(""https://docs.google.com/spreadsheets/d/1MeEWN-I1oV_STSDYn1IFDPWt_1FKiwhDph83XaGc0o0/edit?usp=sharing"",""งบพรบ!EZ62"")"),151600)</f>
        <v>151600</v>
      </c>
      <c r="M353" s="93">
        <f ca="1">IFERROR(__xludf.DUMMYFUNCTION("IMPORTRANGE(""https://docs.google.com/spreadsheets/d/1MeEWN-I1oV_STSDYn1IFDPWt_1FKiwhDph83XaGc0o0/edit?usp=sharing"",""งบพรบ!FC62"")"),151600)</f>
        <v>151600</v>
      </c>
      <c r="N353" s="93">
        <f ca="1">IFERROR(__xludf.DUMMYFUNCTION("IMPORTRANGE(""https://docs.google.com/spreadsheets/d/1MeEWN-I1oV_STSDYn1IFDPWt_1FKiwhDph83XaGc0o0/edit?usp=sharing"",""งบพรบ!FE62"")"),151600)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IFERROR(__xludf.DUMMYFUNCTION("IMPORTRANGE(""https://docs.google.com/spreadsheets/d/1QqKyyYR6Q21VydFLVH3TRQUabQu_ym0Zz7PgGX0-kHA/edit?usp=sharing"",""แผน!EP62"")"),90)</f>
        <v>90</v>
      </c>
      <c r="J355" s="464">
        <f ca="1">J362</f>
        <v>27</v>
      </c>
      <c r="K355" s="465">
        <f ca="1">IF(I355&gt;0,J355*100/I355,0)</f>
        <v>30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IFERROR(__xludf.DUMMYFUNCTION("IMPORTRANGE(""https://docs.google.com/spreadsheets/d/1XWAQStnk-4SwqDmLtmXYiTMKHgktTP8We1SCoS47DrQ/edit?usp=sharing"",""จัดที่ดิน!W62"")"),83)</f>
        <v>83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IFERROR(__xludf.DUMMYFUNCTION("IMPORTRANGE(""https://docs.google.com/spreadsheets/d/1QqKyyYR6Q21VydFLVH3TRQUabQu_ym0Zz7PgGX0-kHA/edit?usp=sharing"",""แผน!EO62"")"),760)</f>
        <v>760</v>
      </c>
      <c r="J359" s="270">
        <f ca="1">IFERROR(__xludf.DUMMYFUNCTION("IMPORTRANGE(""https://docs.google.com/spreadsheets/d/1XWAQStnk-4SwqDmLtmXYiTMKHgktTP8We1SCoS47DrQ/edit?usp=sharing"",""จัดที่ดิน!X62"")"),668.25)</f>
        <v>668.25</v>
      </c>
      <c r="K359" s="497">
        <f t="shared" ca="1" si="161"/>
        <v>87.92763157894737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IFERROR(__xludf.DUMMYFUNCTION("IMPORTRANGE(""https://docs.google.com/spreadsheets/d/1QqKyyYR6Q21VydFLVH3TRQUabQu_ym0Zz7PgGX0-kHA/edit?usp=sharing"",""แผน!EP62"")"),90)</f>
        <v>90</v>
      </c>
      <c r="J360" s="270">
        <f ca="1">IFERROR(__xludf.DUMMYFUNCTION("IMPORTRANGE(""https://docs.google.com/spreadsheets/d/1XWAQStnk-4SwqDmLtmXYiTMKHgktTP8We1SCoS47DrQ/edit?usp=sharing"",""จัดที่ดิน!Y62"")"),43)</f>
        <v>43</v>
      </c>
      <c r="K360" s="497">
        <f t="shared" ca="1" si="161"/>
        <v>47.777777777777779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IFERROR(__xludf.DUMMYFUNCTION("IMPORTRANGE(""https://docs.google.com/spreadsheets/d/1XWAQStnk-4SwqDmLtmXYiTMKHgktTP8We1SCoS47DrQ/edit?usp=sharing"",""จัดที่ดิน!Z62"")"),254.61)</f>
        <v>254.61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IFERROR(__xludf.DUMMYFUNCTION("IMPORTRANGE(""https://docs.google.com/spreadsheets/d/1QqKyyYR6Q21VydFLVH3TRQUabQu_ym0Zz7PgGX0-kHA/edit?usp=sharing"",""แผน!EP62"")"),90)</f>
        <v>90</v>
      </c>
      <c r="J362" s="270">
        <f ca="1">IFERROR(__xludf.DUMMYFUNCTION("IMPORTRANGE(""https://docs.google.com/spreadsheets/d/1XWAQStnk-4SwqDmLtmXYiTMKHgktTP8We1SCoS47DrQ/edit?usp=sharing"",""จัดที่ดิน!AA62"")"),27)</f>
        <v>27</v>
      </c>
      <c r="K362" s="497">
        <f t="shared" ca="1" si="161"/>
        <v>30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IFERROR(__xludf.DUMMYFUNCTION("IMPORTRANGE(""https://docs.google.com/spreadsheets/d/1XWAQStnk-4SwqDmLtmXYiTMKHgktTP8We1SCoS47DrQ/edit?usp=sharing"",""จัดที่ดิน!AB62"")"),199.07)</f>
        <v>199.07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140</v>
      </c>
      <c r="J364" s="478">
        <f t="shared" ca="1" si="162"/>
        <v>145</v>
      </c>
      <c r="K364" s="479">
        <f t="shared" ca="1" si="161"/>
        <v>103.57142857142857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IFERROR(__xludf.DUMMYFUNCTION("IMPORTRANGE(""https://docs.google.com/spreadsheets/d/1QqKyyYR6Q21VydFLVH3TRQUabQu_ym0Zz7PgGX0-kHA/edit?usp=sharing"",""แผน!EJ62"")"),60)</f>
        <v>60</v>
      </c>
      <c r="J365" s="490">
        <f ca="1">J372</f>
        <v>9</v>
      </c>
      <c r="K365" s="491">
        <f t="shared" ca="1" si="161"/>
        <v>15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IFERROR(__xludf.DUMMYFUNCTION("IMPORTRANGE(""https://docs.google.com/spreadsheets/d/1XWAQStnk-4SwqDmLtmXYiTMKHgktTP8We1SCoS47DrQ/edit?usp=sharing"",""จัดที่ดิน!E62"")"),65)</f>
        <v>65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IFERROR(__xludf.DUMMYFUNCTION("IMPORTRANGE(""https://docs.google.com/spreadsheets/d/1QqKyyYR6Q21VydFLVH3TRQUabQu_ym0Zz7PgGX0-kHA/edit?usp=sharing"",""แผน!EI62"")"),500)</f>
        <v>500</v>
      </c>
      <c r="J369" s="270">
        <f ca="1">IFERROR(__xludf.DUMMYFUNCTION("IMPORTRANGE(""https://docs.google.com/spreadsheets/d/1XWAQStnk-4SwqDmLtmXYiTMKHgktTP8We1SCoS47DrQ/edit?usp=sharing"",""จัดที่ดิน!F62"")"),528.7)</f>
        <v>528.70000000000005</v>
      </c>
      <c r="K369" s="497">
        <f t="shared" ca="1" si="163"/>
        <v>105.74000000000001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IFERROR(__xludf.DUMMYFUNCTION("IMPORTRANGE(""https://docs.google.com/spreadsheets/d/1QqKyyYR6Q21VydFLVH3TRQUabQu_ym0Zz7PgGX0-kHA/edit?usp=sharing"",""แผน!EJ62"")"),60)</f>
        <v>60</v>
      </c>
      <c r="J370" s="270">
        <f ca="1">IFERROR(__xludf.DUMMYFUNCTION("IMPORTRANGE(""https://docs.google.com/spreadsheets/d/1XWAQStnk-4SwqDmLtmXYiTMKHgktTP8We1SCoS47DrQ/edit?usp=sharing"",""จัดที่ดิน!G62"")"),25)</f>
        <v>25</v>
      </c>
      <c r="K370" s="497">
        <f t="shared" ca="1" si="163"/>
        <v>41.666666666666664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IFERROR(__xludf.DUMMYFUNCTION("IMPORTRANGE(""https://docs.google.com/spreadsheets/d/1XWAQStnk-4SwqDmLtmXYiTMKHgktTP8We1SCoS47DrQ/edit?usp=sharing"",""จัดที่ดิน!H62"")"),115.06)</f>
        <v>115.06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IFERROR(__xludf.DUMMYFUNCTION("IMPORTRANGE(""https://docs.google.com/spreadsheets/d/1QqKyyYR6Q21VydFLVH3TRQUabQu_ym0Zz7PgGX0-kHA/edit?usp=sharing"",""แผน!EJ62"")"),60)</f>
        <v>60</v>
      </c>
      <c r="J372" s="270">
        <f ca="1">IFERROR(__xludf.DUMMYFUNCTION("IMPORTRANGE(""https://docs.google.com/spreadsheets/d/1XWAQStnk-4SwqDmLtmXYiTMKHgktTP8We1SCoS47DrQ/edit?usp=sharing"",""จัดที่ดิน!I62"")"),9)</f>
        <v>9</v>
      </c>
      <c r="K372" s="497">
        <f t="shared" ca="1" si="163"/>
        <v>15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IFERROR(__xludf.DUMMYFUNCTION("IMPORTRANGE(""https://docs.google.com/spreadsheets/d/1XWAQStnk-4SwqDmLtmXYiTMKHgktTP8We1SCoS47DrQ/edit?usp=sharing"",""จัดที่ดิน!J62"")"),59.52)</f>
        <v>59.52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IFERROR(__xludf.DUMMYFUNCTION("IMPORTRANGE(""https://docs.google.com/spreadsheets/d/1QqKyyYR6Q21VydFLVH3TRQUabQu_ym0Zz7PgGX0-kHA/edit?usp=sharing"",""แผน!EU62"")"),80)</f>
        <v>80</v>
      </c>
      <c r="J374" s="490">
        <f ca="1">J381</f>
        <v>136</v>
      </c>
      <c r="K374" s="491">
        <f t="shared" ca="1" si="163"/>
        <v>170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IFERROR(__xludf.DUMMYFUNCTION("IMPORTRANGE(""https://docs.google.com/spreadsheets/d/1XWAQStnk-4SwqDmLtmXYiTMKHgktTP8We1SCoS47DrQ/edit?usp=sharing"",""จัดที่ดิน!AH62"")"),18)</f>
        <v>18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IFERROR(__xludf.DUMMYFUNCTION("IMPORTRANGE(""https://docs.google.com/spreadsheets/d/1QqKyyYR6Q21VydFLVH3TRQUabQu_ym0Zz7PgGX0-kHA/edit?usp=sharing"",""แผน!ET62"")"),260)</f>
        <v>260</v>
      </c>
      <c r="J378" s="270">
        <f ca="1">IFERROR(__xludf.DUMMYFUNCTION("IMPORTRANGE(""https://docs.google.com/spreadsheets/d/1XWAQStnk-4SwqDmLtmXYiTMKHgktTP8We1SCoS47DrQ/edit?usp=sharing"",""จัดที่ดิน!AI62"")"),139.55)</f>
        <v>139.55000000000001</v>
      </c>
      <c r="K378" s="497">
        <f t="shared" ca="1" si="164"/>
        <v>53.673076923076927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IFERROR(__xludf.DUMMYFUNCTION("IMPORTRANGE(""https://docs.google.com/spreadsheets/d/1QqKyyYR6Q21VydFLVH3TRQUabQu_ym0Zz7PgGX0-kHA/edit?usp=sharing"",""แผน!EU62"")"),80)</f>
        <v>80</v>
      </c>
      <c r="J379" s="270">
        <f ca="1">IFERROR(__xludf.DUMMYFUNCTION("IMPORTRANGE(""https://docs.google.com/spreadsheets/d/1XWAQStnk-4SwqDmLtmXYiTMKHgktTP8We1SCoS47DrQ/edit?usp=sharing"",""จัดที่ดิน!AJ62"")"),136)</f>
        <v>136</v>
      </c>
      <c r="K379" s="497">
        <f t="shared" ca="1" si="164"/>
        <v>170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IFERROR(__xludf.DUMMYFUNCTION("IMPORTRANGE(""https://docs.google.com/spreadsheets/d/1XWAQStnk-4SwqDmLtmXYiTMKHgktTP8We1SCoS47DrQ/edit?usp=sharing"",""จัดที่ดิน!AK62"")"),1702.93)</f>
        <v>1702.93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IFERROR(__xludf.DUMMYFUNCTION("IMPORTRANGE(""https://docs.google.com/spreadsheets/d/1QqKyyYR6Q21VydFLVH3TRQUabQu_ym0Zz7PgGX0-kHA/edit?usp=sharing"",""แผน!EU62"")"),80)</f>
        <v>80</v>
      </c>
      <c r="J381" s="270">
        <f ca="1">IFERROR(__xludf.DUMMYFUNCTION("IMPORTRANGE(""https://docs.google.com/spreadsheets/d/1XWAQStnk-4SwqDmLtmXYiTMKHgktTP8We1SCoS47DrQ/edit?usp=sharing"",""จัดที่ดิน!AL62"")"),136)</f>
        <v>136</v>
      </c>
      <c r="K381" s="497">
        <f t="shared" ca="1" si="164"/>
        <v>170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IFERROR(__xludf.DUMMYFUNCTION("IMPORTRANGE(""https://docs.google.com/spreadsheets/d/1XWAQStnk-4SwqDmLtmXYiTMKHgktTP8We1SCoS47DrQ/edit?usp=sharing"",""จัดที่ดิน!AM62"")"),1711.38999999999)</f>
        <v>1711.3899999999901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IFERROR(__xludf.DUMMYFUNCTION("IMPORTRANGE(""https://docs.google.com/spreadsheets/d/1QqKyyYR6Q21VydFLVH3TRQUabQu_ym0Zz7PgGX0-kHA/edit?usp=sharing"",""แผน!EW62"")"),15)</f>
        <v>15</v>
      </c>
      <c r="J385" s="501">
        <f ca="1">IFERROR(__xludf.DUMMYFUNCTION("IMPORTRANGE(""https://docs.google.com/spreadsheets/d/1XWAQStnk-4SwqDmLtmXYiTMKHgktTP8We1SCoS47DrQ/edit?usp=sharing"",""จัดที่ดิน!AP62"")"),0)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IFERROR(__xludf.DUMMYFUNCTION("IMPORTRANGE(""https://docs.google.com/spreadsheets/d/1MeEWN-I1oV_STSDYn1IFDPWt_1FKiwhDph83XaGc0o0/edit?usp=sharing"",""งบพรบ!FG62"")"),0)</f>
        <v>0</v>
      </c>
      <c r="M394" s="93">
        <f ca="1">IFERROR(__xludf.DUMMYFUNCTION("IMPORTRANGE(""https://docs.google.com/spreadsheets/d/1MeEWN-I1oV_STSDYn1IFDPWt_1FKiwhDph83XaGc0o0/edit?usp=sharing"",""งบพรบ!FL62"")"),0)</f>
        <v>0</v>
      </c>
      <c r="N394" s="93">
        <f ca="1">IFERROR(__xludf.DUMMYFUNCTION("IMPORTRANGE(""https://docs.google.com/spreadsheets/d/1MeEWN-I1oV_STSDYn1IFDPWt_1FKiwhDph83XaGc0o0/edit?usp=sharing"",""งบพรบ!FN62"")"),0)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IFERROR(__xludf.DUMMYFUNCTION("IMPORTRANGE(""https://docs.google.com/spreadsheets/d/1MeEWN-I1oV_STSDYn1IFDPWt_1FKiwhDph83XaGc0o0/edit?usp=sharing"",""งบพรบ!FJ62"")"),0)</f>
        <v>0</v>
      </c>
      <c r="M397" s="93">
        <f ca="1">IFERROR(__xludf.DUMMYFUNCTION("IMPORTRANGE(""https://docs.google.com/spreadsheets/d/1MeEWN-I1oV_STSDYn1IFDPWt_1FKiwhDph83XaGc0o0/edit?usp=sharing"",""งบพรบ!FM62"")"),0)</f>
        <v>0</v>
      </c>
      <c r="N397" s="93">
        <f ca="1">IFERROR(__xludf.DUMMYFUNCTION("IMPORTRANGE(""https://docs.google.com/spreadsheets/d/1MeEWN-I1oV_STSDYn1IFDPWt_1FKiwhDph83XaGc0o0/edit?usp=sharing"",""งบพรบ!FO62"")"),0)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IFERROR(__xludf.DUMMYFUNCTION("IMPORTRANGE(""https://docs.google.com/spreadsheets/d/1MeEWN-I1oV_STSDYn1IFDPWt_1FKiwhDph83XaGc0o0/edit?usp=sharing"",""งบพรบ!FQ62"")"),0)</f>
        <v>0</v>
      </c>
      <c r="M407" s="93">
        <f ca="1">IFERROR(__xludf.DUMMYFUNCTION("IMPORTRANGE(""https://docs.google.com/spreadsheets/d/1MeEWN-I1oV_STSDYn1IFDPWt_1FKiwhDph83XaGc0o0/edit?usp=sharing"",""งบพรบ!FV62"")"),0)</f>
        <v>0</v>
      </c>
      <c r="N407" s="93">
        <f ca="1">IFERROR(__xludf.DUMMYFUNCTION("IMPORTRANGE(""https://docs.google.com/spreadsheets/d/1MeEWN-I1oV_STSDYn1IFDPWt_1FKiwhDph83XaGc0o0/edit?usp=sharing"",""งบพรบ!FX62"")"),0)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IFERROR(__xludf.DUMMYFUNCTION("IMPORTRANGE(""https://docs.google.com/spreadsheets/d/1MeEWN-I1oV_STSDYn1IFDPWt_1FKiwhDph83XaGc0o0/edit?usp=sharing"",""งบพรบ!FT62"")"),0)</f>
        <v>0</v>
      </c>
      <c r="M410" s="93">
        <f ca="1">IFERROR(__xludf.DUMMYFUNCTION("IMPORTRANGE(""https://docs.google.com/spreadsheets/d/1MeEWN-I1oV_STSDYn1IFDPWt_1FKiwhDph83XaGc0o0/edit?usp=sharing"",""งบพรบ!FW62"")"),0)</f>
        <v>0</v>
      </c>
      <c r="N410" s="93">
        <f ca="1">IFERROR(__xludf.DUMMYFUNCTION("IMPORTRANGE(""https://docs.google.com/spreadsheets/d/1MeEWN-I1oV_STSDYn1IFDPWt_1FKiwhDph83XaGc0o0/edit?usp=sharing"",""งบพรบ!FY62"")"),0)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1122465</v>
      </c>
      <c r="M414" s="549">
        <f t="shared" ca="1" si="181"/>
        <v>1122465</v>
      </c>
      <c r="N414" s="549">
        <f t="shared" si="181"/>
        <v>759000.61</v>
      </c>
      <c r="O414" s="549">
        <f ca="1">IF(L414&gt;0,N414*100/L414,0)</f>
        <v>67.619089236635446</v>
      </c>
      <c r="P414" s="549">
        <f ca="1">IF(M414&gt;0,N414*100/M414,0)</f>
        <v>67.619089236635446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65240</v>
      </c>
      <c r="O419" s="155">
        <f t="shared" ref="O419:O424" ca="1" si="185">IF(L419&gt;0,N419*100/L419,0)</f>
        <v>98.01682692307692</v>
      </c>
      <c r="P419" s="155">
        <f t="shared" ref="P419:P424" ca="1" si="186">IF(M419&gt;0,N419*100/M419,0)</f>
        <v>98.01682692307692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65240</v>
      </c>
      <c r="O421" s="93">
        <f t="shared" ca="1" si="185"/>
        <v>98.01682692307692</v>
      </c>
      <c r="P421" s="93">
        <f t="shared" ca="1" si="186"/>
        <v>98.01682692307692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65240</v>
      </c>
      <c r="O422" s="497">
        <f t="shared" ca="1" si="185"/>
        <v>98.01682692307692</v>
      </c>
      <c r="P422" s="497">
        <f t="shared" ca="1" si="186"/>
        <v>98.01682692307692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IFERROR(__xludf.DUMMYFUNCTION("IMPORTRANGE(""https://docs.google.com/spreadsheets/d/1QqKyyYR6Q21VydFLVH3TRQUabQu_ym0Zz7PgGX0-kHA/edit?usp=sharing"",""แผน!EY62"")"),66560)</f>
        <v>66560</v>
      </c>
      <c r="M424" s="93">
        <f ca="1">L424</f>
        <v>66560</v>
      </c>
      <c r="N424" s="93">
        <f>N425+N426+N427+N428</f>
        <v>65240</v>
      </c>
      <c r="O424" s="93">
        <f t="shared" ca="1" si="185"/>
        <v>98.01682692307692</v>
      </c>
      <c r="P424" s="93">
        <f t="shared" ca="1" si="186"/>
        <v>98.01682692307692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49950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1940+13350</f>
        <v>15290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IFERROR(__xludf.DUMMYFUNCTION("IMPORTRANGE(""https://docs.google.com/spreadsheets/d/1QqKyyYR6Q21VydFLVH3TRQUabQu_ym0Zz7PgGX0-kHA/edit?usp=sharing"",""แผน!FC62"")"),15)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IFERROR(__xludf.DUMMYFUNCTION("IMPORTRANGE(""https://docs.google.com/spreadsheets/d/1QqKyyYR6Q21VydFLVH3TRQUabQu_ym0Zz7PgGX0-kHA/edit?usp=sharing"",""แผน!FD62"")"),0)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IFERROR(__xludf.DUMMYFUNCTION("IMPORTRANGE(""https://docs.google.com/spreadsheets/d/1QqKyyYR6Q21VydFLVH3TRQUabQu_ym0Zz7PgGX0-kHA/edit?usp=sharing"",""แผน!FF62"")"),15)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IFERROR(__xludf.DUMMYFUNCTION("IMPORTRANGE(""https://docs.google.com/spreadsheets/d/1QqKyyYR6Q21VydFLVH3TRQUabQu_ym0Zz7PgGX0-kHA/edit?usp=sharing"",""แผน!FN62"")"),0)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IFERROR(__xludf.DUMMYFUNCTION("IMPORTRANGE(""https://docs.google.com/spreadsheets/d/1QqKyyYR6Q21VydFLVH3TRQUabQu_ym0Zz7PgGX0-kHA/edit?usp=sharing"",""แผน!FO62"")"),0)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IFERROR(__xludf.DUMMYFUNCTION("IMPORTRANGE(""https://docs.google.com/spreadsheets/d/1QqKyyYR6Q21VydFLVH3TRQUabQu_ym0Zz7PgGX0-kHA/edit?usp=sharing"",""แผน!FO62"")"),0)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IFERROR(__xludf.DUMMYFUNCTION("IMPORTRANGE(""https://docs.google.com/spreadsheets/d/1QqKyyYR6Q21VydFLVH3TRQUabQu_ym0Zz7PgGX0-kHA/edit?usp=sharing"",""แผน!FN62"")"),0)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IFERROR(__xludf.DUMMYFUNCTION("IMPORTRANGE(""https://docs.google.com/spreadsheets/d/1QqKyyYR6Q21VydFLVH3TRQUabQu_ym0Zz7PgGX0-kHA/edit?usp=sharing"",""แผน!FX62"")"),51)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IFERROR(__xludf.DUMMYFUNCTION("IMPORTRANGE(""https://docs.google.com/spreadsheets/d/1QqKyyYR6Q21VydFLVH3TRQUabQu_ym0Zz7PgGX0-kHA/edit?usp=sharing"",""แผน!FW62"")"),500)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410533</v>
      </c>
      <c r="M467" s="195">
        <f t="shared" ca="1" si="206"/>
        <v>410533</v>
      </c>
      <c r="N467" s="195">
        <f t="shared" si="206"/>
        <v>409480</v>
      </c>
      <c r="O467" s="195">
        <f t="shared" ref="O467:O472" ca="1" si="207">IF(L467&gt;0,N467*100/L467,0)</f>
        <v>99.743504176278151</v>
      </c>
      <c r="P467" s="195">
        <f t="shared" ref="P467:P472" ca="1" si="208">IF(M467&gt;0,N467*100/M467,0)</f>
        <v>99.743504176278151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410533</v>
      </c>
      <c r="M469" s="93">
        <f t="shared" ca="1" si="209"/>
        <v>410533</v>
      </c>
      <c r="N469" s="93">
        <f t="shared" si="209"/>
        <v>409480</v>
      </c>
      <c r="O469" s="93">
        <f t="shared" ca="1" si="207"/>
        <v>99.743504176278151</v>
      </c>
      <c r="P469" s="93">
        <f t="shared" ca="1" si="208"/>
        <v>99.743504176278151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410533</v>
      </c>
      <c r="M470" s="497">
        <f t="shared" ca="1" si="210"/>
        <v>410533</v>
      </c>
      <c r="N470" s="497">
        <f t="shared" si="210"/>
        <v>409480</v>
      </c>
      <c r="O470" s="497">
        <f t="shared" ca="1" si="207"/>
        <v>99.743504176278151</v>
      </c>
      <c r="P470" s="497">
        <f t="shared" ca="1" si="208"/>
        <v>99.743504176278151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IFERROR(__xludf.DUMMYFUNCTION("IMPORTRANGE(""https://docs.google.com/spreadsheets/d/1QqKyyYR6Q21VydFLVH3TRQUabQu_ym0Zz7PgGX0-kHA/edit?usp=sharing"",""แผน!FS62"")"),410533)</f>
        <v>410533</v>
      </c>
      <c r="M472" s="93">
        <f ca="1">L472</f>
        <v>410533</v>
      </c>
      <c r="N472" s="93">
        <f>N473+N474+N475+N476</f>
        <v>409480</v>
      </c>
      <c r="O472" s="93">
        <f t="shared" ca="1" si="207"/>
        <v>99.743504176278151</v>
      </c>
      <c r="P472" s="93">
        <f t="shared" ca="1" si="208"/>
        <v>99.743504176278151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6550+78480</f>
        <v>85030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2700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7750</f>
        <v>7750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IFERROR(__xludf.DUMMYFUNCTION("IMPORTRANGE(""https://docs.google.com/spreadsheets/d/1QqKyyYR6Q21VydFLVH3TRQUabQu_ym0Zz7PgGX0-kHA/edit?usp=sharing"",""แผน!FY62"")"),450)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IFERROR(__xludf.DUMMYFUNCTION("IMPORTRANGE(""https://docs.google.com/spreadsheets/d/1QqKyyYR6Q21VydFLVH3TRQUabQu_ym0Zz7PgGX0-kHA/edit?usp=sharing"",""แผน!FZ62"")"),45)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IFERROR(__xludf.DUMMYFUNCTION("IMPORTRANGE(""https://docs.google.com/spreadsheets/d/1QqKyyYR6Q21VydFLVH3TRQUabQu_ym0Zz7PgGX0-kHA/edit?usp=sharing"",""แผน!GA62"")"),50)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IFERROR(__xludf.DUMMYFUNCTION("IMPORTRANGE(""https://docs.google.com/spreadsheets/d/1QqKyyYR6Q21VydFLVH3TRQUabQu_ym0Zz7PgGX0-kHA/edit?usp=sharing"",""แผน!GB62"")"),5)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IFERROR(__xludf.DUMMYFUNCTION("IMPORTRANGE(""https://docs.google.com/spreadsheets/d/1QqKyyYR6Q21VydFLVH3TRQUabQu_ym0Zz7PgGX0-kHA/edit?usp=sharing"",""แผน!FY62"")"),450)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450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IFERROR(__xludf.DUMMYFUNCTION("IMPORTRANGE(""https://docs.google.com/spreadsheets/d/1QqKyyYR6Q21VydFLVH3TRQUabQu_ym0Zz7PgGX0-kHA/edit?usp=sharing"",""แผน!GA62"")"),50)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50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18118</v>
      </c>
      <c r="J543" s="682">
        <f t="shared" si="235"/>
        <v>13208</v>
      </c>
      <c r="K543" s="683">
        <f t="shared" ca="1" si="234"/>
        <v>72.899878573794012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315742</v>
      </c>
      <c r="M544" s="155">
        <f t="shared" ca="1" si="236"/>
        <v>315742</v>
      </c>
      <c r="N544" s="155">
        <f t="shared" si="236"/>
        <v>184107</v>
      </c>
      <c r="O544" s="155">
        <f t="shared" ref="O544:O549" ca="1" si="237">IF(L544&gt;0,N544*100/L544,0)</f>
        <v>58.309315833813685</v>
      </c>
      <c r="P544" s="155">
        <f t="shared" ref="P544:P549" ca="1" si="238">IF(M544&gt;0,N544*100/M544,0)</f>
        <v>58.309315833813685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315742</v>
      </c>
      <c r="M546" s="93">
        <f t="shared" ca="1" si="240"/>
        <v>315742</v>
      </c>
      <c r="N546" s="93">
        <f t="shared" si="240"/>
        <v>184107</v>
      </c>
      <c r="O546" s="93">
        <f t="shared" ca="1" si="237"/>
        <v>58.309315833813685</v>
      </c>
      <c r="P546" s="93">
        <f t="shared" ca="1" si="238"/>
        <v>58.309315833813685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315742</v>
      </c>
      <c r="M547" s="497">
        <f t="shared" ca="1" si="241"/>
        <v>315742</v>
      </c>
      <c r="N547" s="497">
        <f t="shared" si="241"/>
        <v>184107</v>
      </c>
      <c r="O547" s="497">
        <f t="shared" ca="1" si="237"/>
        <v>58.309315833813685</v>
      </c>
      <c r="P547" s="497">
        <f t="shared" ca="1" si="238"/>
        <v>58.309315833813685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IFERROR(__xludf.DUMMYFUNCTION("IMPORTRANGE(""https://docs.google.com/spreadsheets/d/1QqKyyYR6Q21VydFLVH3TRQUabQu_ym0Zz7PgGX0-kHA/edit?usp=sharing"",""แผน!HB62"")"),315742)</f>
        <v>315742</v>
      </c>
      <c r="M549" s="93">
        <f ca="1">L549</f>
        <v>315742</v>
      </c>
      <c r="N549" s="93">
        <f>N550+N551+N552+N553+N554</f>
        <v>184107</v>
      </c>
      <c r="O549" s="93">
        <f t="shared" ca="1" si="237"/>
        <v>58.309315833813685</v>
      </c>
      <c r="P549" s="93">
        <f t="shared" ca="1" si="238"/>
        <v>58.309315833813685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f>23450+35520</f>
        <v>58970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91000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3840+12900+9125+840+4700+1232+1500</f>
        <v>34137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18118</v>
      </c>
      <c r="J559" s="703">
        <f t="shared" si="245"/>
        <v>13208</v>
      </c>
      <c r="K559" s="672">
        <f t="shared" ref="K559:K561" ca="1" si="246">IF(I559&gt;0,J559*100/I559,0)</f>
        <v>72.899878573794012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IFERROR(__xludf.DUMMYFUNCTION("IMPORTRANGE(""https://docs.google.com/spreadsheets/d/1QqKyyYR6Q21VydFLVH3TRQUabQu_ym0Zz7PgGX0-kHA/edit?usp=sharing"",""แผน!HH62"")"),18118)</f>
        <v>18118</v>
      </c>
      <c r="J560" s="193">
        <f t="shared" ref="J560:J561" si="247">J562+J564+J566</f>
        <v>18118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IFERROR(__xludf.DUMMYFUNCTION("IMPORTRANGE(""https://docs.google.com/spreadsheets/d/1QqKyyYR6Q21VydFLVH3TRQUabQu_ym0Zz7PgGX0-kHA/edit?usp=sharing"",""แผน!HG62"")"),1162)</f>
        <v>1162</v>
      </c>
      <c r="J561" s="193">
        <f t="shared" si="247"/>
        <v>1162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12704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895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4966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228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448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IFERROR(__xludf.DUMMYFUNCTION("IMPORTRANGE(""https://docs.google.com/spreadsheets/d/1QqKyyYR6Q21VydFLVH3TRQUabQu_ym0Zz7PgGX0-kHA/edit?usp=sharing"",""แผน!HH62"")"),18118)</f>
        <v>18118</v>
      </c>
      <c r="J568" s="676">
        <f t="shared" ref="J568:J569" si="248">J570+J572+J574</f>
        <v>18120</v>
      </c>
      <c r="K568" s="411">
        <f t="shared" ref="K568:K569" ca="1" si="249">IF(I568&gt;0,J568*100/I568,0)</f>
        <v>100.01103874599845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IFERROR(__xludf.DUMMYFUNCTION("IMPORTRANGE(""https://docs.google.com/spreadsheets/d/1QqKyyYR6Q21VydFLVH3TRQUabQu_ym0Zz7PgGX0-kHA/edit?usp=sharing"",""แผน!HG62"")"),1162)</f>
        <v>1162</v>
      </c>
      <c r="J569" s="676">
        <f t="shared" si="248"/>
        <v>1162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12717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897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4955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226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448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39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IFERROR(__xludf.DUMMYFUNCTION("IMPORTRANGE(""https://docs.google.com/spreadsheets/d/1QqKyyYR6Q21VydFLVH3TRQUabQu_ym0Zz7PgGX0-kHA/edit?usp=sharing"",""แผน!HH62"")"),18118)</f>
        <v>18118</v>
      </c>
      <c r="J576" s="676">
        <f t="shared" ref="J576:J577" si="250">J578+J580+J582+J588+J590</f>
        <v>13208</v>
      </c>
      <c r="K576" s="411">
        <f t="shared" ref="K576:K577" ca="1" si="251">IF(I576&gt;0,J576*100/I576,0)</f>
        <v>72.899878573794012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IFERROR(__xludf.DUMMYFUNCTION("IMPORTRANGE(""https://docs.google.com/spreadsheets/d/1QqKyyYR6Q21VydFLVH3TRQUabQu_ym0Zz7PgGX0-kHA/edit?usp=sharing"",""แผน!HG62"")"),1162)</f>
        <v>1162</v>
      </c>
      <c r="J577" s="676">
        <f t="shared" si="250"/>
        <v>938</v>
      </c>
      <c r="K577" s="411">
        <f t="shared" ca="1" si="251"/>
        <v>80.722891566265062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12760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899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448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39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448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39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2254.8200000000002</v>
      </c>
      <c r="J592" s="703">
        <f t="shared" si="253"/>
        <v>121</v>
      </c>
      <c r="K592" s="672">
        <f t="shared" ref="K592:K594" ca="1" si="254">IF(I592&gt;0,J592*100/I592,0)</f>
        <v>5.3662820092069428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IFERROR(__xludf.DUMMYFUNCTION("IMPORTRANGE(""https://docs.google.com/spreadsheets/d/1QqKyyYR6Q21VydFLVH3TRQUabQu_ym0Zz7PgGX0-kHA/edit?usp=sharing"",""แผน!HJ62"")"),2254.82)</f>
        <v>2254.8200000000002</v>
      </c>
      <c r="J593" s="193">
        <f t="shared" ref="J593:J594" si="255">J595+J603+J609</f>
        <v>121</v>
      </c>
      <c r="K593" s="411">
        <f t="shared" ca="1" si="254"/>
        <v>5.3662820092069428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IFERROR(__xludf.DUMMYFUNCTION("IMPORTRANGE(""https://docs.google.com/spreadsheets/d/1QqKyyYR6Q21VydFLVH3TRQUabQu_ym0Zz7PgGX0-kHA/edit?usp=sharing"",""แผน!HI62"")"),208)</f>
        <v>208</v>
      </c>
      <c r="J594" s="193">
        <f t="shared" si="255"/>
        <v>9</v>
      </c>
      <c r="K594" s="411">
        <f t="shared" ca="1" si="254"/>
        <v>4.3269230769230766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75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75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37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37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9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2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IFERROR(__xludf.DUMMYFUNCTION("IMPORTRANGE(""https://docs.google.com/spreadsheets/d/1QqKyyYR6Q21VydFLVH3TRQUabQu_ym0Zz7PgGX0-kHA/edit?usp=sharing"",""แผน!HL62"")"),0)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IFERROR(__xludf.DUMMYFUNCTION("IMPORTRANGE(""https://docs.google.com/spreadsheets/d/1QqKyyYR6Q21VydFLVH3TRQUabQu_ym0Zz7PgGX0-kHA/edit?usp=sharing"",""แผน!HK62"")"),0)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329630</v>
      </c>
      <c r="M629" s="195">
        <f t="shared" ca="1" si="263"/>
        <v>329630</v>
      </c>
      <c r="N629" s="195">
        <f t="shared" si="263"/>
        <v>100173.61</v>
      </c>
      <c r="O629" s="195">
        <f t="shared" ref="O629:O634" ca="1" si="264">IF(L629&gt;0,N629*100/L629,0)</f>
        <v>30.389712708187968</v>
      </c>
      <c r="P629" s="195">
        <f t="shared" ref="P629:P634" ca="1" si="265">IF(M629&gt;0,N629*100/M629,0)</f>
        <v>30.389712708187968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329630</v>
      </c>
      <c r="M631" s="93">
        <f t="shared" ca="1" si="266"/>
        <v>329630</v>
      </c>
      <c r="N631" s="93">
        <f t="shared" si="266"/>
        <v>100173.61</v>
      </c>
      <c r="O631" s="93">
        <f t="shared" ca="1" si="264"/>
        <v>30.389712708187968</v>
      </c>
      <c r="P631" s="93">
        <f t="shared" ca="1" si="265"/>
        <v>30.389712708187968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329630</v>
      </c>
      <c r="M632" s="497">
        <f t="shared" ca="1" si="267"/>
        <v>329630</v>
      </c>
      <c r="N632" s="497">
        <f t="shared" si="267"/>
        <v>100173.61</v>
      </c>
      <c r="O632" s="497">
        <f t="shared" ca="1" si="264"/>
        <v>30.389712708187968</v>
      </c>
      <c r="P632" s="497">
        <f t="shared" ca="1" si="265"/>
        <v>30.389712708187968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IFERROR(__xludf.DUMMYFUNCTION("IMPORTRANGE(""https://docs.google.com/spreadsheets/d/1QqKyyYR6Q21VydFLVH3TRQUabQu_ym0Zz7PgGX0-kHA/edit?usp=sharing"",""แผน!HN62"")"),329630)</f>
        <v>329630</v>
      </c>
      <c r="M634" s="93">
        <f ca="1">L634</f>
        <v>329630</v>
      </c>
      <c r="N634" s="93">
        <f>N635+N636+N637+N638</f>
        <v>100173.61</v>
      </c>
      <c r="O634" s="93">
        <f t="shared" ca="1" si="264"/>
        <v>30.389712708187968</v>
      </c>
      <c r="P634" s="93">
        <f t="shared" ca="1" si="265"/>
        <v>30.389712708187968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f>64535.72+12133.34+10064.55</f>
        <v>86733.61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2000+9000+2440</f>
        <v>13440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IFERROR(__xludf.DUMMYFUNCTION("IMPORTRANGE(""https://docs.google.com/spreadsheets/d/1XWAQStnk-4SwqDmLtmXYiTMKHgktTP8We1SCoS47DrQ/edit?usp=sharing"",""จัดที่ดิน!AS62"")"),2)</f>
        <v>2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IFERROR(__xludf.DUMMYFUNCTION("IMPORTRANGE(""https://docs.google.com/spreadsheets/d/1XWAQStnk-4SwqDmLtmXYiTMKHgktTP8We1SCoS47DrQ/edit?usp=sharing"",""จัดที่ดิน!AT62"")"),0.73)</f>
        <v>0.73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IFERROR(__xludf.DUMMYFUNCTION("IMPORTRANGE(""https://docs.google.com/spreadsheets/d/1QqKyyYR6Q21VydFLVH3TRQUabQu_ym0Zz7PgGX0-kHA/edit?usp=sharing"",""แผน!HS62"")"),60)</f>
        <v>60</v>
      </c>
      <c r="J647" s="270">
        <f ca="1">IFERROR(__xludf.DUMMYFUNCTION("IMPORTRANGE(""https://docs.google.com/spreadsheets/d/1XWAQStnk-4SwqDmLtmXYiTMKHgktTP8We1SCoS47DrQ/edit?usp=sharing"",""จัดที่ดิน!AU62"")"),0)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IFERROR(__xludf.DUMMYFUNCTION("IMPORTRANGE(""https://docs.google.com/spreadsheets/d/1XWAQStnk-4SwqDmLtmXYiTMKHgktTP8We1SCoS47DrQ/edit?usp=sharing"",""จัดที่ดิน!AV62"")"),0)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IFERROR(__xludf.DUMMYFUNCTION("IMPORTRANGE(""https://docs.google.com/spreadsheets/d/1QqKyyYR6Q21VydFLVH3TRQUabQu_ym0Zz7PgGX0-kHA/edit?usp=sharing"",""แผน!HS62"")"),60)</f>
        <v>60</v>
      </c>
      <c r="J649" s="270">
        <f ca="1">IFERROR(__xludf.DUMMYFUNCTION("IMPORTRANGE(""https://docs.google.com/spreadsheets/d/1XWAQStnk-4SwqDmLtmXYiTMKHgktTP8We1SCoS47DrQ/edit?usp=sharing"",""จัดที่ดิน!AW62"")"),1)</f>
        <v>1</v>
      </c>
      <c r="K649" s="163">
        <f t="shared" ca="1" si="271"/>
        <v>1.6666666666666667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IFERROR(__xludf.DUMMYFUNCTION("IMPORTRANGE(""https://docs.google.com/spreadsheets/d/1XWAQStnk-4SwqDmLtmXYiTMKHgktTP8We1SCoS47DrQ/edit?usp=sharing"",""จัดที่ดิน!AX62"")"),0.32)</f>
        <v>0.32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IFERROR(__xludf.DUMMYFUNCTION("IMPORTRANGE(""https://docs.google.com/spreadsheets/d/1QqKyyYR6Q21VydFLVH3TRQUabQu_ym0Zz7PgGX0-kHA/edit?usp=sharing"",""แผน!HS62"")"),60)</f>
        <v>60</v>
      </c>
      <c r="J651" s="270">
        <f ca="1">IFERROR(__xludf.DUMMYFUNCTION("IMPORTRANGE(""https://docs.google.com/spreadsheets/d/1XWAQStnk-4SwqDmLtmXYiTMKHgktTP8We1SCoS47DrQ/edit?usp=sharing"",""จัดที่ดิน!AY62"")"),0)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IFERROR(__xludf.DUMMYFUNCTION("IMPORTRANGE(""https://docs.google.com/spreadsheets/d/1XWAQStnk-4SwqDmLtmXYiTMKHgktTP8We1SCoS47DrQ/edit?usp=sharing"",""จัดที่ดิน!AZ62"")"),0)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IFERROR(__xludf.DUMMYFUNCTION("IMPORTRANGE(""https://docs.google.com/spreadsheets/d/1QqKyyYR6Q21VydFLVH3TRQUabQu_ym0Zz7PgGX0-kHA/edit?usp=sharing"",""แผน!HV62"")"),0)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IFERROR(__xludf.DUMMYFUNCTION("IMPORTRANGE(""https://docs.google.com/spreadsheets/d/1QqKyyYR6Q21VydFLVH3TRQUabQu_ym0Zz7PgGX0-kHA/edit?usp=sharing"",""แผน!IA62"")"),0)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IFERROR(__xludf.DUMMYFUNCTION("IMPORTRANGE(""https://docs.google.com/spreadsheets/d/1QqKyyYR6Q21VydFLVH3TRQUabQu_ym0Zz7PgGX0-kHA/edit?usp=sharing"",""แผน!HZ62"")"),0)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IFERROR(__xludf.DUMMYFUNCTION("IMPORTRANGE(""https://docs.google.com/spreadsheets/d/1QqKyyYR6Q21VydFLVH3TRQUabQu_ym0Zz7PgGX0-kHA/edit?usp=sharing"",""แผน!HZ62"")"),0)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IFERROR(__xludf.DUMMYFUNCTION("IMPORTRANGE(""https://docs.google.com/spreadsheets/d/1QqKyyYR6Q21VydFLVH3TRQUabQu_ym0Zz7PgGX0-kHA/edit?usp=sharing"",""แผน!IC62"")"),0)</f>
        <v>0</v>
      </c>
      <c r="J699" s="270">
        <f ca="1">IFERROR(__xludf.DUMMYFUNCTION("IMPORTRANGE(""https://docs.google.com/spreadsheets/d/1XWAQStnk-4SwqDmLtmXYiTMKHgktTP8We1SCoS47DrQ/edit?usp=sharing"",""จัดที่ดิน!BB62"")"),0)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IFERROR(__xludf.DUMMYFUNCTION("IMPORTRANGE(""https://docs.google.com/spreadsheets/d/1QqKyyYR6Q21VydFLVH3TRQUabQu_ym0Zz7PgGX0-kHA/edit?usp=sharing"",""แผน!ID62"")"),0)</f>
        <v>0</v>
      </c>
      <c r="J700" s="270">
        <f ca="1">IFERROR(__xludf.DUMMYFUNCTION("IMPORTRANGE(""https://docs.google.com/spreadsheets/d/1XWAQStnk-4SwqDmLtmXYiTMKHgktTP8We1SCoS47DrQ/edit?usp=sharing"",""จัดที่ดิน!BD62"")"),0)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IFERROR(__xludf.DUMMYFUNCTION("IMPORTRANGE(""https://docs.google.com/spreadsheets/d/1QqKyyYR6Q21VydFLVH3TRQUabQu_ym0Zz7PgGX0-kHA/edit?usp=sharing"",""แผน!IE62"")"),0)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IFERROR(__xludf.DUMMYFUNCTION("IMPORTRANGE(""https://docs.google.com/spreadsheets/d/1QqKyyYR6Q21VydFLVH3TRQUabQu_ym0Zz7PgGX0-kHA/edit?usp=sharing"",""แผน!IF62"")"),0)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IFERROR(__xludf.DUMMYFUNCTION("IMPORTRANGE(""https://docs.google.com/spreadsheets/d/1QqKyyYR6Q21VydFLVH3TRQUabQu_ym0Zz7PgGX0-kHA/edit?usp=sharing"",""แผน!IH62"")"),0)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IFERROR(__xludf.DUMMYFUNCTION("IMPORTRANGE(""https://docs.google.com/spreadsheets/d/1QqKyyYR6Q21VydFLVH3TRQUabQu_ym0Zz7PgGX0-kHA/edit?usp=sharing"",""แผน!II62"")"),0)</f>
        <v>0</v>
      </c>
      <c r="J720" s="270">
        <f ca="1">IFERROR(__xludf.DUMMYFUNCTION("IMPORTRANGE(""https://docs.google.com/spreadsheets/d/1XWAQStnk-4SwqDmLtmXYiTMKHgktTP8We1SCoS47DrQ/edit?usp=sharing"",""จัดที่ดิน!BH62"")"),0)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IFERROR(__xludf.DUMMYFUNCTION("IMPORTRANGE(""https://docs.google.com/spreadsheets/d/1QqKyyYR6Q21VydFLVH3TRQUabQu_ym0Zz7PgGX0-kHA/edit?usp=sharing"",""แผน!IJ62"")"),0)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IFERROR(__xludf.DUMMYFUNCTION("IMPORTRANGE(""https://docs.google.com/spreadsheets/d/1QqKyyYR6Q21VydFLVH3TRQUabQu_ym0Zz7PgGX0-kHA/edit?usp=sharing"",""แผน!IK62"")"),0)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IFERROR(__xludf.DUMMYFUNCTION("IMPORTRANGE(""https://docs.google.com/spreadsheets/d/1QqKyyYR6Q21VydFLVH3TRQUabQu_ym0Zz7PgGX0-kHA/edit?usp=sharing"",""แผน!IL62"")"),0)</f>
        <v>0</v>
      </c>
      <c r="J723" s="270">
        <f ca="1">IFERROR(__xludf.DUMMYFUNCTION("IMPORTRANGE(""https://docs.google.com/spreadsheets/d/1XWAQStnk-4SwqDmLtmXYiTMKHgktTP8We1SCoS47DrQ/edit?usp=sharing"",""จัดที่ดิน!BM62"")"),0)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IFERROR(__xludf.DUMMYFUNCTION("IMPORTRANGE(""https://docs.google.com/spreadsheets/d/1XWAQStnk-4SwqDmLtmXYiTMKHgktTP8We1SCoS47DrQ/edit?usp=sharing"",""จัดที่ดิน!BN62"")"),0)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IFERROR(__xludf.DUMMYFUNCTION("IMPORTRANGE(""https://docs.google.com/spreadsheets/d/1QqKyyYR6Q21VydFLVH3TRQUabQu_ym0Zz7PgGX0-kHA/edit?usp=sharing"",""แผน!IM62"")"),0)</f>
        <v>0</v>
      </c>
      <c r="J725" s="270">
        <f ca="1">IFERROR(__xludf.DUMMYFUNCTION("IMPORTRANGE(""https://docs.google.com/spreadsheets/d/1XWAQStnk-4SwqDmLtmXYiTMKHgktTP8We1SCoS47DrQ/edit?usp=sharing"",""จัดที่ดิน!BO62"")"),0)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IFERROR(__xludf.DUMMYFUNCTION("IMPORTRANGE(""https://docs.google.com/spreadsheets/d/1QqKyyYR6Q21VydFLVH3TRQUabQu_ym0Zz7PgGX0-kHA/edit?usp=sharing"",""แผน!IN62"")"),0)</f>
        <v>0</v>
      </c>
      <c r="J726" s="270">
        <f ca="1">IFERROR(__xludf.DUMMYFUNCTION("IMPORTRANGE(""https://docs.google.com/spreadsheets/d/1XWAQStnk-4SwqDmLtmXYiTMKHgktTP8We1SCoS47DrQ/edit?usp=sharing"",""จัดที่ดิน!BR62"")"),0)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IFERROR(__xludf.DUMMYFUNCTION("IMPORTRANGE(""https://docs.google.com/spreadsheets/d/1QqKyyYR6Q21VydFLVH3TRQUabQu_ym0Zz7PgGX0-kHA/edit?usp=sharing"",""แผน!IO62"")"),0)</f>
        <v>0</v>
      </c>
      <c r="J728" s="270">
        <f ca="1">IFERROR(__xludf.DUMMYFUNCTION("IMPORTRANGE(""https://docs.google.com/spreadsheets/d/1XWAQStnk-4SwqDmLtmXYiTMKHgktTP8We1SCoS47DrQ/edit?usp=sharing"",""จัดที่ดิน!BT62"")"),0)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IFERROR(__xludf.DUMMYFUNCTION("IMPORTRANGE(""https://docs.google.com/spreadsheets/d/1QqKyyYR6Q21VydFLVH3TRQUabQu_ym0Zz7PgGX0-kHA/edit?usp=sharing"",""แผน!IP62"")"),0)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IFERROR(__xludf.DUMMYFUNCTION("IMPORTRANGE(""https://docs.google.com/spreadsheets/d/1QqKyyYR6Q21VydFLVH3TRQUabQu_ym0Zz7PgGX0-kHA/edit?usp=sharing"",""แผน!JN62"")"),0)</f>
        <v>0</v>
      </c>
      <c r="J800" s="184">
        <f ca="1">IFERROR(__xludf.DUMMYFUNCTION("IMPORTRANGE(""https://docs.google.com/spreadsheets/d/1MaWodYyGHDf7siQLGxnXhG4mBNTNIuy296niS2xXulU/edit?usp=sharing"",""RTK!H62"")"),0)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70">
        <f ca="1">IFERROR(__xludf.DUMMYFUNCTION("IMPORTRANGE(""https://docs.google.com/spreadsheets/d/19vJNZY_5yjcGF2XGBMNZRCAIB0Kwfpjp8YEOfu-bneM/edit?usp=sharing"",""งานกองทุน!F62"")"),1873019.06)</f>
        <v>1873019.06</v>
      </c>
      <c r="K821" s="497">
        <f t="shared" ref="K821:K828" ca="1" si="335">IF(I821&gt;0,J821*100/I821,0)</f>
        <v>92.701427114296607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IFERROR(__xludf.DUMMYFUNCTION("IMPORTRANGE(""https://docs.google.com/spreadsheets/d/19vJNZY_5yjcGF2XGBMNZRCAIB0Kwfpjp8YEOfu-bneM/edit?usp=sharing"",""งานกองทุน!C62"")"),141)</f>
        <v>141</v>
      </c>
      <c r="J822" s="270">
        <f ca="1">IFERROR(__xludf.DUMMYFUNCTION("IMPORTRANGE(""https://docs.google.com/spreadsheets/d/19vJNZY_5yjcGF2XGBMNZRCAIB0Kwfpjp8YEOfu-bneM/edit?usp=sharing"",""งานกองทุน!E62"")"),130)</f>
        <v>130</v>
      </c>
      <c r="K822" s="497">
        <f t="shared" ca="1" si="335"/>
        <v>92.198581560283685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70">
        <f ca="1">IFERROR(__xludf.DUMMYFUNCTION("IMPORTRANGE(""https://docs.google.com/spreadsheets/d/19vJNZY_5yjcGF2XGBMNZRCAIB0Kwfpjp8YEOfu-bneM/edit?usp=sharing"",""งานกองทุน!K62"")"),73757.25)</f>
        <v>73757.25</v>
      </c>
      <c r="K823" s="497">
        <f t="shared" ca="1" si="335"/>
        <v>32.189227518765676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IFERROR(__xludf.DUMMYFUNCTION("IMPORTRANGE(""https://docs.google.com/spreadsheets/d/19vJNZY_5yjcGF2XGBMNZRCAIB0Kwfpjp8YEOfu-bneM/edit?usp=sharing"",""งานกองทุน!H62"")"),16)</f>
        <v>16</v>
      </c>
      <c r="J824" s="270">
        <f ca="1">IFERROR(__xludf.DUMMYFUNCTION("IMPORTRANGE(""https://docs.google.com/spreadsheets/d/19vJNZY_5yjcGF2XGBMNZRCAIB0Kwfpjp8YEOfu-bneM/edit?usp=sharing"",""งานกองทุน!J62"")"),15)</f>
        <v>15</v>
      </c>
      <c r="K824" s="497">
        <f t="shared" ca="1" si="335"/>
        <v>93.75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IFERROR(__xludf.DUMMYFUNCTION("IMPORTRANGE(""https://docs.google.com/spreadsheets/d/19vJNZY_5yjcGF2XGBMNZRCAIB0Kwfpjp8YEOfu-bneM/edit?usp=sharing"",""งานกองทุน!N62"")"),231.96)</f>
        <v>231.96</v>
      </c>
      <c r="J825" s="270">
        <f ca="1">IFERROR(__xludf.DUMMYFUNCTION("IMPORTRANGE(""https://docs.google.com/spreadsheets/d/19vJNZY_5yjcGF2XGBMNZRCAIB0Kwfpjp8YEOfu-bneM/edit?usp=sharing"",""งานกองทุน!P62"")"),231.96)</f>
        <v>231.96</v>
      </c>
      <c r="K825" s="497">
        <f t="shared" ca="1" si="335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IFERROR(__xludf.DUMMYFUNCTION("IMPORTRANGE(""https://docs.google.com/spreadsheets/d/19vJNZY_5yjcGF2XGBMNZRCAIB0Kwfpjp8YEOfu-bneM/edit?usp=sharing"",""งานกองทุน!M62"")"),1)</f>
        <v>1</v>
      </c>
      <c r="J826" s="270">
        <f ca="1">IFERROR(__xludf.DUMMYFUNCTION("IMPORTRANGE(""https://docs.google.com/spreadsheets/d/19vJNZY_5yjcGF2XGBMNZRCAIB0Kwfpjp8YEOfu-bneM/edit?usp=sharing"",""งานกองทุน!O62"")"),1)</f>
        <v>1</v>
      </c>
      <c r="K826" s="497">
        <f t="shared" ca="1" si="335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IFERROR(__xludf.DUMMYFUNCTION("IMPORTRANGE(""https://docs.google.com/spreadsheets/d/19vJNZY_5yjcGF2XGBMNZRCAIB0Kwfpjp8YEOfu-bneM/edit?usp=sharing"",""งานกองทุน!S62"")"),2000000)</f>
        <v>2000000</v>
      </c>
      <c r="J827" s="270">
        <f ca="1">IFERROR(__xludf.DUMMYFUNCTION("IMPORTRANGE(""https://docs.google.com/spreadsheets/d/19vJNZY_5yjcGF2XGBMNZRCAIB0Kwfpjp8YEOfu-bneM/edit?usp=sharing"",""งานกองทุน!U62"")"),1990000)</f>
        <v>1990000</v>
      </c>
      <c r="K827" s="497">
        <f t="shared" ca="1" si="335"/>
        <v>99.5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IFERROR(__xludf.DUMMYFUNCTION("IMPORTRANGE(""https://docs.google.com/spreadsheets/d/19vJNZY_5yjcGF2XGBMNZRCAIB0Kwfpjp8YEOfu-bneM/edit?usp=sharing"",""งานกองทุน!R62"")"),66)</f>
        <v>66</v>
      </c>
      <c r="J828" s="501">
        <f ca="1">IFERROR(__xludf.DUMMYFUNCTION("IMPORTRANGE(""https://docs.google.com/spreadsheets/d/19vJNZY_5yjcGF2XGBMNZRCAIB0Kwfpjp8YEOfu-bneM/edit?usp=sharing"",""งานกองทุน!T62"")"),48)</f>
        <v>48</v>
      </c>
      <c r="K828" s="502">
        <f t="shared" ca="1" si="335"/>
        <v>72.727272727272734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6E30-3A21-437B-BD35-D0B0D821D2E8}">
  <sheetPr codeName="Sheet12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349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3797393</v>
      </c>
      <c r="M8" s="22">
        <f t="shared" ca="1" si="0"/>
        <v>3892853</v>
      </c>
      <c r="N8" s="22">
        <f t="shared" ca="1" si="0"/>
        <v>2929831.41</v>
      </c>
      <c r="O8" s="22">
        <f t="shared" ref="O8:O16" ca="1" si="1">IF(L8&gt;0,N8*100/L8,0)</f>
        <v>77.153758117740253</v>
      </c>
      <c r="P8" s="22">
        <f t="shared" ref="P8:P16" ca="1" si="2">IF(M8&gt;0,N8*100/M8,0)</f>
        <v>75.261804388709251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3797393</v>
      </c>
      <c r="M10" s="30">
        <f t="shared" ca="1" si="3"/>
        <v>3892853</v>
      </c>
      <c r="N10" s="30">
        <f t="shared" ca="1" si="3"/>
        <v>2929831.41</v>
      </c>
      <c r="O10" s="30">
        <f t="shared" ca="1" si="1"/>
        <v>77.153758117740253</v>
      </c>
      <c r="P10" s="30">
        <f t="shared" ca="1" si="2"/>
        <v>75.261804388709251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3195993</v>
      </c>
      <c r="M11" s="497">
        <f t="shared" ca="1" si="4"/>
        <v>3291453</v>
      </c>
      <c r="N11" s="497">
        <f t="shared" ca="1" si="4"/>
        <v>2328431.41</v>
      </c>
      <c r="O11" s="497">
        <f t="shared" ca="1" si="1"/>
        <v>72.854709318825172</v>
      </c>
      <c r="P11" s="497">
        <f t="shared" ca="1" si="2"/>
        <v>70.741748704903273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3195993</v>
      </c>
      <c r="M13" s="93">
        <f t="shared" ca="1" si="5"/>
        <v>3291453</v>
      </c>
      <c r="N13" s="93">
        <f t="shared" ca="1" si="5"/>
        <v>2328431.41</v>
      </c>
      <c r="O13" s="93">
        <f t="shared" ca="1" si="1"/>
        <v>72.854709318825172</v>
      </c>
      <c r="P13" s="93">
        <f t="shared" ca="1" si="2"/>
        <v>70.741748704903273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601400</v>
      </c>
      <c r="M14" s="497">
        <f t="shared" ca="1" si="6"/>
        <v>601400</v>
      </c>
      <c r="N14" s="497">
        <f t="shared" ca="1" si="6"/>
        <v>601400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601400</v>
      </c>
      <c r="M16" s="52">
        <f t="shared" ca="1" si="7"/>
        <v>601400</v>
      </c>
      <c r="N16" s="52">
        <f t="shared" ca="1" si="7"/>
        <v>601400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3051710</v>
      </c>
      <c r="M18" s="22">
        <f t="shared" ca="1" si="8"/>
        <v>3147170</v>
      </c>
      <c r="N18" s="22">
        <f t="shared" ca="1" si="8"/>
        <v>2437988.41</v>
      </c>
      <c r="O18" s="22">
        <f t="shared" ref="O18:O26" ca="1" si="9">IF(L18&gt;0,N18*100/L18,0)</f>
        <v>79.889255859829404</v>
      </c>
      <c r="P18" s="22">
        <f t="shared" ref="P18:P26" ca="1" si="10">IF(M18&gt;0,N18*100/M18,0)</f>
        <v>77.466053946879256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3051710</v>
      </c>
      <c r="M20" s="30">
        <f t="shared" ca="1" si="11"/>
        <v>3147170</v>
      </c>
      <c r="N20" s="30">
        <f t="shared" ca="1" si="11"/>
        <v>2437988.41</v>
      </c>
      <c r="O20" s="30">
        <f t="shared" ca="1" si="9"/>
        <v>79.889255859829404</v>
      </c>
      <c r="P20" s="30">
        <f t="shared" ca="1" si="10"/>
        <v>77.466053946879256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2450310</v>
      </c>
      <c r="M21" s="497">
        <f t="shared" ca="1" si="12"/>
        <v>2545770</v>
      </c>
      <c r="N21" s="497">
        <f t="shared" ca="1" si="12"/>
        <v>1836588.41</v>
      </c>
      <c r="O21" s="497">
        <f t="shared" ca="1" si="9"/>
        <v>74.953308356901786</v>
      </c>
      <c r="P21" s="497">
        <f t="shared" ca="1" si="10"/>
        <v>72.142746988141113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2450310</v>
      </c>
      <c r="M23" s="93">
        <f t="shared" ca="1" si="13"/>
        <v>2545770</v>
      </c>
      <c r="N23" s="93">
        <f t="shared" ca="1" si="13"/>
        <v>1836588.41</v>
      </c>
      <c r="O23" s="93">
        <f t="shared" ca="1" si="9"/>
        <v>74.953308356901786</v>
      </c>
      <c r="P23" s="93">
        <f t="shared" ca="1" si="10"/>
        <v>72.142746988141113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601400</v>
      </c>
      <c r="M24" s="497">
        <f t="shared" ca="1" si="14"/>
        <v>601400</v>
      </c>
      <c r="N24" s="497">
        <f t="shared" ca="1" si="14"/>
        <v>601400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601400</v>
      </c>
      <c r="M26" s="52">
        <f t="shared" ca="1" si="15"/>
        <v>601400</v>
      </c>
      <c r="N26" s="52">
        <f t="shared" ca="1" si="15"/>
        <v>601400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745683</v>
      </c>
      <c r="M28" s="22">
        <f t="shared" ca="1" si="16"/>
        <v>745683</v>
      </c>
      <c r="N28" s="22">
        <f t="shared" si="16"/>
        <v>491843</v>
      </c>
      <c r="O28" s="22">
        <f t="shared" ref="O28:O37" ca="1" si="17">IF(L28&gt;0,N28*100/L28,0)</f>
        <v>65.958725088274775</v>
      </c>
      <c r="P28" s="22">
        <f t="shared" ref="P28:P37" ca="1" si="18">IF(M28&gt;0,N28*100/M28,0)</f>
        <v>65.958725088274775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745683</v>
      </c>
      <c r="M30" s="30">
        <f t="shared" ca="1" si="19"/>
        <v>745683</v>
      </c>
      <c r="N30" s="30">
        <f t="shared" si="19"/>
        <v>491843</v>
      </c>
      <c r="O30" s="30">
        <f t="shared" ca="1" si="17"/>
        <v>65.958725088274775</v>
      </c>
      <c r="P30" s="30">
        <f t="shared" ca="1" si="18"/>
        <v>65.958725088274775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745683</v>
      </c>
      <c r="M31" s="497">
        <f t="shared" ca="1" si="20"/>
        <v>745683</v>
      </c>
      <c r="N31" s="497">
        <f t="shared" si="20"/>
        <v>491843</v>
      </c>
      <c r="O31" s="497">
        <f t="shared" ca="1" si="17"/>
        <v>65.958725088274775</v>
      </c>
      <c r="P31" s="497">
        <f t="shared" ca="1" si="18"/>
        <v>65.958725088274775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745683</v>
      </c>
      <c r="M33" s="93">
        <f t="shared" ca="1" si="21"/>
        <v>745683</v>
      </c>
      <c r="N33" s="93">
        <f t="shared" si="21"/>
        <v>491843</v>
      </c>
      <c r="O33" s="93">
        <f t="shared" ca="1" si="17"/>
        <v>65.958725088274775</v>
      </c>
      <c r="P33" s="93">
        <f t="shared" ca="1" si="18"/>
        <v>65.958725088274775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3051710</v>
      </c>
      <c r="M37" s="59">
        <f t="shared" ca="1" si="24"/>
        <v>3147170</v>
      </c>
      <c r="N37" s="59">
        <f t="shared" ca="1" si="24"/>
        <v>2437988.41</v>
      </c>
      <c r="O37" s="59">
        <f t="shared" ca="1" si="17"/>
        <v>79.889255859829404</v>
      </c>
      <c r="P37" s="59">
        <f t="shared" ca="1" si="18"/>
        <v>77.466053946879256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313950</v>
      </c>
      <c r="M41" s="85">
        <f t="shared" ca="1" si="25"/>
        <v>321210</v>
      </c>
      <c r="N41" s="85">
        <f t="shared" ca="1" si="25"/>
        <v>189335</v>
      </c>
      <c r="O41" s="85">
        <f t="shared" ref="O41:O49" ca="1" si="26">IF(L41&gt;0,N41*100/L41,0)</f>
        <v>60.307373785634653</v>
      </c>
      <c r="P41" s="85">
        <f t="shared" ref="P41:P49" ca="1" si="27">IF(M41&gt;0,N41*100/M41,0)</f>
        <v>58.944304349179667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313950</v>
      </c>
      <c r="M43" s="92">
        <f t="shared" ca="1" si="28"/>
        <v>321210</v>
      </c>
      <c r="N43" s="92">
        <f t="shared" ca="1" si="28"/>
        <v>189335</v>
      </c>
      <c r="O43" s="92">
        <f t="shared" ca="1" si="26"/>
        <v>60.307373785634653</v>
      </c>
      <c r="P43" s="92">
        <f t="shared" ca="1" si="27"/>
        <v>58.944304349179667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313950</v>
      </c>
      <c r="M44" s="497">
        <f t="shared" ca="1" si="29"/>
        <v>321210</v>
      </c>
      <c r="N44" s="497">
        <f t="shared" ca="1" si="29"/>
        <v>189335</v>
      </c>
      <c r="O44" s="497">
        <f t="shared" ca="1" si="26"/>
        <v>60.307373785634653</v>
      </c>
      <c r="P44" s="497">
        <f t="shared" ca="1" si="27"/>
        <v>58.944304349179667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IFERROR(__xludf.DUMMYFUNCTION("IMPORTRANGE(""https://docs.google.com/spreadsheets/d/1MeEWN-I1oV_STSDYn1IFDPWt_1FKiwhDph83XaGc0o0/edit?usp=sharing"",""งบพรบ!M63"")"),313950)</f>
        <v>313950</v>
      </c>
      <c r="M46" s="93">
        <f ca="1">IFERROR(__xludf.DUMMYFUNCTION("IMPORTRANGE(""https://docs.google.com/spreadsheets/d/1MeEWN-I1oV_STSDYn1IFDPWt_1FKiwhDph83XaGc0o0/edit?usp=sharing"",""งบพรบ!R63"")"),321210)</f>
        <v>321210</v>
      </c>
      <c r="N46" s="93">
        <f ca="1">IFERROR(__xludf.DUMMYFUNCTION("IMPORTRANGE(""https://docs.google.com/spreadsheets/d/1MeEWN-I1oV_STSDYn1IFDPWt_1FKiwhDph83XaGc0o0/edit?usp=sharing"",""งบพรบ!T63"")"),189335)</f>
        <v>189335</v>
      </c>
      <c r="O46" s="93">
        <f t="shared" ca="1" si="26"/>
        <v>60.307373785634653</v>
      </c>
      <c r="P46" s="93">
        <f t="shared" ca="1" si="27"/>
        <v>58.944304349179667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IFERROR(__xludf.DUMMYFUNCTION("IMPORTRANGE(""https://docs.google.com/spreadsheets/d/1MeEWN-I1oV_STSDYn1IFDPWt_1FKiwhDph83XaGc0o0/edit?usp=sharing"",""งบพรบ!P63"")"),0)</f>
        <v>0</v>
      </c>
      <c r="M49" s="52">
        <f ca="1">IFERROR(__xludf.DUMMYFUNCTION("IMPORTRANGE(""https://docs.google.com/spreadsheets/d/1MeEWN-I1oV_STSDYn1IFDPWt_1FKiwhDph83XaGc0o0/edit?usp=sharing"",""งบพรบ!S63"")"),0)</f>
        <v>0</v>
      </c>
      <c r="N49" s="52">
        <f ca="1">IFERROR(__xludf.DUMMYFUNCTION("IMPORTRANGE(""https://docs.google.com/spreadsheets/d/1MeEWN-I1oV_STSDYn1IFDPWt_1FKiwhDph83XaGc0o0/edit?usp=sharing"",""งบพรบ!U63"")"),0)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334000</v>
      </c>
      <c r="M53" s="116">
        <f t="shared" ca="1" si="31"/>
        <v>390620</v>
      </c>
      <c r="N53" s="116">
        <f t="shared" ca="1" si="31"/>
        <v>277453.21000000002</v>
      </c>
      <c r="O53" s="116">
        <f t="shared" ref="O53:O61" ca="1" si="32">IF(L53&gt;0,N53*100/L53,0)</f>
        <v>83.06982335329343</v>
      </c>
      <c r="P53" s="116">
        <f t="shared" ref="P53:P61" ca="1" si="33">IF(M53&gt;0,N53*100/M53,0)</f>
        <v>71.028930930315923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334000</v>
      </c>
      <c r="M55" s="123">
        <f t="shared" ca="1" si="34"/>
        <v>390620</v>
      </c>
      <c r="N55" s="123">
        <f t="shared" ca="1" si="34"/>
        <v>277453.21000000002</v>
      </c>
      <c r="O55" s="123">
        <f t="shared" ca="1" si="32"/>
        <v>83.06982335329343</v>
      </c>
      <c r="P55" s="123">
        <f t="shared" ca="1" si="33"/>
        <v>71.028930930315923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334000</v>
      </c>
      <c r="M56" s="497">
        <f t="shared" ca="1" si="35"/>
        <v>390620</v>
      </c>
      <c r="N56" s="497">
        <f t="shared" ca="1" si="35"/>
        <v>277453.21000000002</v>
      </c>
      <c r="O56" s="497">
        <f t="shared" ca="1" si="32"/>
        <v>83.06982335329343</v>
      </c>
      <c r="P56" s="497">
        <f t="shared" ca="1" si="33"/>
        <v>71.028930930315923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IFERROR(__xludf.DUMMYFUNCTION("IMPORTRANGE(""https://docs.google.com/spreadsheets/d/1MeEWN-I1oV_STSDYn1IFDPWt_1FKiwhDph83XaGc0o0/edit?usp=sharing"",""งบพรบ!W63"")"),334000)</f>
        <v>334000</v>
      </c>
      <c r="M58" s="93">
        <f ca="1">IFERROR(__xludf.DUMMYFUNCTION("IMPORTRANGE(""https://docs.google.com/spreadsheets/d/1MeEWN-I1oV_STSDYn1IFDPWt_1FKiwhDph83XaGc0o0/edit?usp=sharing"",""งบพรบ!AB63"")"),390620)</f>
        <v>390620</v>
      </c>
      <c r="N58" s="93">
        <f ca="1">IFERROR(__xludf.DUMMYFUNCTION("IMPORTRANGE(""https://docs.google.com/spreadsheets/d/1MeEWN-I1oV_STSDYn1IFDPWt_1FKiwhDph83XaGc0o0/edit?usp=sharing"",""งบพรบ!AD63"")"),277453.21)</f>
        <v>277453.21000000002</v>
      </c>
      <c r="O58" s="93">
        <f t="shared" ca="1" si="32"/>
        <v>83.06982335329343</v>
      </c>
      <c r="P58" s="93">
        <f t="shared" ca="1" si="33"/>
        <v>71.028930930315923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IFERROR(__xludf.DUMMYFUNCTION("IMPORTRANGE(""https://docs.google.com/spreadsheets/d/1MeEWN-I1oV_STSDYn1IFDPWt_1FKiwhDph83XaGc0o0/edit?usp=sharing"",""งบพรบ!Z63"")"),0)</f>
        <v>0</v>
      </c>
      <c r="M61" s="52">
        <f ca="1">IFERROR(__xludf.DUMMYFUNCTION("IMPORTRANGE(""https://docs.google.com/spreadsheets/d/1MeEWN-I1oV_STSDYn1IFDPWt_1FKiwhDph83XaGc0o0/edit?usp=sharing"",""งบพรบ!AC63"")"),0)</f>
        <v>0</v>
      </c>
      <c r="N61" s="52">
        <f ca="1">IFERROR(__xludf.DUMMYFUNCTION("IMPORTRANGE(""https://docs.google.com/spreadsheets/d/1MeEWN-I1oV_STSDYn1IFDPWt_1FKiwhDph83XaGc0o0/edit?usp=sharing"",""งบพรบ!AE63"")"),0)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IFERROR(__xludf.DUMMYFUNCTION("IMPORTRANGE(""https://docs.google.com/spreadsheets/d/1MeEWN-I1oV_STSDYn1IFDPWt_1FKiwhDph83XaGc0o0/edit?usp=sharing"",""งบพรบ!AG63"")"),0)</f>
        <v>0</v>
      </c>
      <c r="M71" s="93">
        <f ca="1">IFERROR(__xludf.DUMMYFUNCTION("IMPORTRANGE(""https://docs.google.com/spreadsheets/d/1MeEWN-I1oV_STSDYn1IFDPWt_1FKiwhDph83XaGc0o0/edit?usp=sharing"",""งบพรบ!AL63"")"),0)</f>
        <v>0</v>
      </c>
      <c r="N71" s="93">
        <f ca="1">IFERROR(__xludf.DUMMYFUNCTION("IMPORTRANGE(""https://docs.google.com/spreadsheets/d/1MeEWN-I1oV_STSDYn1IFDPWt_1FKiwhDph83XaGc0o0/edit?usp=sharing"",""งบพรบ!AN63"")"),0)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IFERROR(__xludf.DUMMYFUNCTION("IMPORTRANGE(""https://docs.google.com/spreadsheets/d/1MeEWN-I1oV_STSDYn1IFDPWt_1FKiwhDph83XaGc0o0/edit?usp=sharing"",""งบพรบ!AJ63"")"),0)</f>
        <v>0</v>
      </c>
      <c r="M74" s="93">
        <f ca="1">IFERROR(__xludf.DUMMYFUNCTION("IMPORTRANGE(""https://docs.google.com/spreadsheets/d/1MeEWN-I1oV_STSDYn1IFDPWt_1FKiwhDph83XaGc0o0/edit?usp=sharing"",""งบพรบ!AM63"")"),0)</f>
        <v>0</v>
      </c>
      <c r="N74" s="93">
        <f ca="1">IFERROR(__xludf.DUMMYFUNCTION("IMPORTRANGE(""https://docs.google.com/spreadsheets/d/1MeEWN-I1oV_STSDYn1IFDPWt_1FKiwhDph83XaGc0o0/edit?usp=sharing"",""งบพรบ!AO63"")"),0)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96640</v>
      </c>
      <c r="N88" s="155">
        <f t="shared" ca="1" si="49"/>
        <v>89020</v>
      </c>
      <c r="O88" s="155">
        <f t="shared" ref="O88:O96" ca="1" si="50">IF(L88&gt;0,N88*100/L88,0)</f>
        <v>103.70456663560113</v>
      </c>
      <c r="P88" s="155">
        <f t="shared" ref="P88:P96" ca="1" si="51">IF(M88&gt;0,N88*100/M88,0)</f>
        <v>92.115066225165563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96640</v>
      </c>
      <c r="N90" s="93">
        <f t="shared" ca="1" si="52"/>
        <v>89020</v>
      </c>
      <c r="O90" s="93">
        <f t="shared" ca="1" si="50"/>
        <v>103.70456663560113</v>
      </c>
      <c r="P90" s="93">
        <f t="shared" ca="1" si="51"/>
        <v>92.115066225165563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96640</v>
      </c>
      <c r="N91" s="497">
        <f t="shared" ca="1" si="53"/>
        <v>89020</v>
      </c>
      <c r="O91" s="497">
        <f t="shared" ca="1" si="50"/>
        <v>103.70456663560113</v>
      </c>
      <c r="P91" s="497">
        <f t="shared" ca="1" si="51"/>
        <v>92.115066225165563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IFERROR(__xludf.DUMMYFUNCTION("IMPORTRANGE(""https://docs.google.com/spreadsheets/d/1MeEWN-I1oV_STSDYn1IFDPWt_1FKiwhDph83XaGc0o0/edit?usp=sharing"",""งบพรบ!AQ63"")"),85840)</f>
        <v>85840</v>
      </c>
      <c r="M93" s="93">
        <f ca="1">IFERROR(__xludf.DUMMYFUNCTION("IMPORTRANGE(""https://docs.google.com/spreadsheets/d/1MeEWN-I1oV_STSDYn1IFDPWt_1FKiwhDph83XaGc0o0/edit?usp=sharing"",""งบพรบ!AV63"")"),96640)</f>
        <v>96640</v>
      </c>
      <c r="N93" s="93">
        <f ca="1">IFERROR(__xludf.DUMMYFUNCTION("IMPORTRANGE(""https://docs.google.com/spreadsheets/d/1MeEWN-I1oV_STSDYn1IFDPWt_1FKiwhDph83XaGc0o0/edit?usp=sharing"",""งบพรบ!AX63"")"),89020)</f>
        <v>89020</v>
      </c>
      <c r="O93" s="93">
        <f t="shared" ca="1" si="50"/>
        <v>103.70456663560113</v>
      </c>
      <c r="P93" s="93">
        <f t="shared" ca="1" si="51"/>
        <v>92.115066225165563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IFERROR(__xludf.DUMMYFUNCTION("IMPORTRANGE(""https://docs.google.com/spreadsheets/d/1MeEWN-I1oV_STSDYn1IFDPWt_1FKiwhDph83XaGc0o0/edit?usp=sharing"",""งบพรบ!AT63"")"),0)</f>
        <v>0</v>
      </c>
      <c r="M96" s="93">
        <f ca="1">IFERROR(__xludf.DUMMYFUNCTION("IMPORTRANGE(""https://docs.google.com/spreadsheets/d/1MeEWN-I1oV_STSDYn1IFDPWt_1FKiwhDph83XaGc0o0/edit?usp=sharing"",""งบพรบ!AW63"")"),0)</f>
        <v>0</v>
      </c>
      <c r="N96" s="93">
        <f ca="1">IFERROR(__xludf.DUMMYFUNCTION("IMPORTRANGE(""https://docs.google.com/spreadsheets/d/1MeEWN-I1oV_STSDYn1IFDPWt_1FKiwhDph83XaGc0o0/edit?usp=sharing"",""งบพรบ!AY63"")"),0)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IFERROR(__xludf.DUMMYFUNCTION("IMPORTRANGE(""https://docs.google.com/spreadsheets/d/1QqKyyYR6Q21VydFLVH3TRQUabQu_ym0Zz7PgGX0-kHA/edit?usp=sharing"",""แผน!R63"")"),10)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IFERROR(__xludf.DUMMYFUNCTION("IMPORTRANGE(""https://docs.google.com/spreadsheets/d/1MeEWN-I1oV_STSDYn1IFDPWt_1FKiwhDph83XaGc0o0/edit?usp=sharing"",""งบพรบ!BA63"")"),0)</f>
        <v>0</v>
      </c>
      <c r="M124" s="93">
        <f ca="1">IFERROR(__xludf.DUMMYFUNCTION("IMPORTRANGE(""https://docs.google.com/spreadsheets/d/1MeEWN-I1oV_STSDYn1IFDPWt_1FKiwhDph83XaGc0o0/edit?usp=sharing"",""งบพรบ!BF63"")"),0)</f>
        <v>0</v>
      </c>
      <c r="N124" s="93">
        <f ca="1">IFERROR(__xludf.DUMMYFUNCTION("IMPORTRANGE(""https://docs.google.com/spreadsheets/d/1MeEWN-I1oV_STSDYn1IFDPWt_1FKiwhDph83XaGc0o0/edit?usp=sharing"",""งบพรบ!BH63"")"),0)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IFERROR(__xludf.DUMMYFUNCTION("IMPORTRANGE(""https://docs.google.com/spreadsheets/d/1MeEWN-I1oV_STSDYn1IFDPWt_1FKiwhDph83XaGc0o0/edit?usp=sharing"",""งบพรบ!BD63"")"),0)</f>
        <v>0</v>
      </c>
      <c r="M127" s="93">
        <f ca="1">IFERROR(__xludf.DUMMYFUNCTION("IMPORTRANGE(""https://docs.google.com/spreadsheets/d/1MeEWN-I1oV_STSDYn1IFDPWt_1FKiwhDph83XaGc0o0/edit?usp=sharing"",""งบพรบ!BG63"")"),0)</f>
        <v>0</v>
      </c>
      <c r="N127" s="93">
        <f ca="1">IFERROR(__xludf.DUMMYFUNCTION("IMPORTRANGE(""https://docs.google.com/spreadsheets/d/1MeEWN-I1oV_STSDYn1IFDPWt_1FKiwhDph83XaGc0o0/edit?usp=sharing"",""งบพรบ!BI63"")"),0)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4</v>
      </c>
      <c r="J130" s="144">
        <f t="shared" si="66"/>
        <v>4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40</v>
      </c>
      <c r="J131" s="144">
        <f t="shared" ca="1" si="68"/>
        <v>40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1017520</v>
      </c>
      <c r="M132" s="155">
        <f t="shared" ca="1" si="69"/>
        <v>1017520</v>
      </c>
      <c r="N132" s="155">
        <f t="shared" ca="1" si="69"/>
        <v>869548.2</v>
      </c>
      <c r="O132" s="155">
        <f t="shared" ref="O132:O140" ca="1" si="70">IF(L132&gt;0,N132*100/L132,0)</f>
        <v>85.457602798962185</v>
      </c>
      <c r="P132" s="155">
        <f t="shared" ref="P132:P140" ca="1" si="71">IF(M132&gt;0,N132*100/M132,0)</f>
        <v>85.457602798962185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1017520</v>
      </c>
      <c r="M134" s="93">
        <f t="shared" ca="1" si="72"/>
        <v>1017520</v>
      </c>
      <c r="N134" s="93">
        <f t="shared" ca="1" si="72"/>
        <v>869548.2</v>
      </c>
      <c r="O134" s="93">
        <f t="shared" ca="1" si="70"/>
        <v>85.457602798962185</v>
      </c>
      <c r="P134" s="93">
        <f t="shared" ca="1" si="71"/>
        <v>85.457602798962185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605520</v>
      </c>
      <c r="M135" s="497">
        <f t="shared" ca="1" si="73"/>
        <v>605520</v>
      </c>
      <c r="N135" s="497">
        <f t="shared" ca="1" si="73"/>
        <v>457548.2</v>
      </c>
      <c r="O135" s="497">
        <f t="shared" ca="1" si="70"/>
        <v>75.562855066719507</v>
      </c>
      <c r="P135" s="497">
        <f t="shared" ca="1" si="71"/>
        <v>75.562855066719507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IFERROR(__xludf.DUMMYFUNCTION("IMPORTRANGE(""https://docs.google.com/spreadsheets/d/1MeEWN-I1oV_STSDYn1IFDPWt_1FKiwhDph83XaGc0o0/edit?usp=sharing"",""งบพรบ!BK63"")"),605520)</f>
        <v>605520</v>
      </c>
      <c r="M137" s="93">
        <f ca="1">IFERROR(__xludf.DUMMYFUNCTION("IMPORTRANGE(""https://docs.google.com/spreadsheets/d/1MeEWN-I1oV_STSDYn1IFDPWt_1FKiwhDph83XaGc0o0/edit?usp=sharing"",""งบพรบ!BP63"")"),605520)</f>
        <v>605520</v>
      </c>
      <c r="N137" s="93">
        <f ca="1">IFERROR(__xludf.DUMMYFUNCTION("IMPORTRANGE(""https://docs.google.com/spreadsheets/d/1MeEWN-I1oV_STSDYn1IFDPWt_1FKiwhDph83XaGc0o0/edit?usp=sharing"",""งบพรบ!BR63"")"),457548.2)</f>
        <v>457548.2</v>
      </c>
      <c r="O137" s="93">
        <f t="shared" ca="1" si="70"/>
        <v>75.562855066719507</v>
      </c>
      <c r="P137" s="93">
        <f t="shared" ca="1" si="71"/>
        <v>75.562855066719507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412000</v>
      </c>
      <c r="M138" s="497">
        <f t="shared" ca="1" si="74"/>
        <v>412000</v>
      </c>
      <c r="N138" s="497">
        <f t="shared" ca="1" si="74"/>
        <v>412000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IFERROR(__xludf.DUMMYFUNCTION("IMPORTRANGE(""https://docs.google.com/spreadsheets/d/1MeEWN-I1oV_STSDYn1IFDPWt_1FKiwhDph83XaGc0o0/edit?usp=sharing"",""งบพรบ!BN63"")"),412000)</f>
        <v>412000</v>
      </c>
      <c r="M140" s="93">
        <f ca="1">IFERROR(__xludf.DUMMYFUNCTION("IMPORTRANGE(""https://docs.google.com/spreadsheets/d/1MeEWN-I1oV_STSDYn1IFDPWt_1FKiwhDph83XaGc0o0/edit?usp=sharing"",""งบพรบ!BQ63"")"),412000)</f>
        <v>412000</v>
      </c>
      <c r="N140" s="93">
        <f ca="1">IFERROR(__xludf.DUMMYFUNCTION("IMPORTRANGE(""https://docs.google.com/spreadsheets/d/1MeEWN-I1oV_STSDYn1IFDPWt_1FKiwhDph83XaGc0o0/edit?usp=sharing"",""งบพรบ!BS63"")"),412000)</f>
        <v>412000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40</v>
      </c>
      <c r="J143" s="270">
        <f ca="1">IF(AND(J144&gt;=I144,J145&gt;=I145),J145,0)</f>
        <v>40</v>
      </c>
      <c r="K143" s="497">
        <f ca="1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IFERROR(__xludf.DUMMYFUNCTION("IMPORTRANGE(""https://docs.google.com/spreadsheets/d/1QqKyyYR6Q21VydFLVH3TRQUabQu_ym0Zz7PgGX0-kHA/edit?usp=sharing"",""แผน!U63"")"),20)</f>
        <v>20</v>
      </c>
      <c r="J144" s="215">
        <v>40</v>
      </c>
      <c r="K144" s="497">
        <f t="shared" ref="K144:K145" ca="1" si="75">IF(I144&gt;0,J145*100/I144,0)</f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IFERROR(__xludf.DUMMYFUNCTION("IMPORTRANGE(""https://docs.google.com/spreadsheets/d/1QqKyyYR6Q21VydFLVH3TRQUabQu_ym0Zz7PgGX0-kHA/edit?usp=sharing"",""แผน!V63"")"),40)</f>
        <v>40</v>
      </c>
      <c r="J145" s="215">
        <v>40</v>
      </c>
      <c r="K145" s="497">
        <f t="shared" ca="1" si="75"/>
        <v>10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IFERROR(__xludf.DUMMYFUNCTION("IMPORTRANGE(""https://docs.google.com/spreadsheets/d/1QqKyyYR6Q21VydFLVH3TRQUabQu_ym0Zz7PgGX0-kHA/edit?usp=sharing"",""แผน!W63"")"),4)</f>
        <v>4</v>
      </c>
      <c r="J146" s="215">
        <v>4</v>
      </c>
      <c r="K146" s="497">
        <f ca="1">IF(I146&gt;0,J146*100/I146,0)</f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1680</v>
      </c>
      <c r="N149" s="155">
        <f t="shared" ca="1" si="77"/>
        <v>1680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1680</v>
      </c>
      <c r="N151" s="93">
        <f t="shared" ca="1" si="80"/>
        <v>1680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1680</v>
      </c>
      <c r="N152" s="497">
        <f t="shared" ca="1" si="81"/>
        <v>1680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IFERROR(__xludf.DUMMYFUNCTION("IMPORTRANGE(""https://docs.google.com/spreadsheets/d/1MeEWN-I1oV_STSDYn1IFDPWt_1FKiwhDph83XaGc0o0/edit?usp=sharing"",""งบพรบ!BU63"")"),0)</f>
        <v>0</v>
      </c>
      <c r="M154" s="93">
        <f ca="1">IFERROR(__xludf.DUMMYFUNCTION("IMPORTRANGE(""https://docs.google.com/spreadsheets/d/1MeEWN-I1oV_STSDYn1IFDPWt_1FKiwhDph83XaGc0o0/edit?usp=sharing"",""งบพรบ!BZ63"")"),1680)</f>
        <v>1680</v>
      </c>
      <c r="N154" s="93">
        <f ca="1">IFERROR(__xludf.DUMMYFUNCTION("IMPORTRANGE(""https://docs.google.com/spreadsheets/d/1MeEWN-I1oV_STSDYn1IFDPWt_1FKiwhDph83XaGc0o0/edit?usp=sharing"",""งบพรบ!CB63"")"),1680)</f>
        <v>1680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IFERROR(__xludf.DUMMYFUNCTION("IMPORTRANGE(""https://docs.google.com/spreadsheets/d/1MeEWN-I1oV_STSDYn1IFDPWt_1FKiwhDph83XaGc0o0/edit?usp=sharing"",""งบพรบ!BX63"")"),0)</f>
        <v>0</v>
      </c>
      <c r="M157" s="93">
        <f ca="1">IFERROR(__xludf.DUMMYFUNCTION("IMPORTRANGE(""https://docs.google.com/spreadsheets/d/1MeEWN-I1oV_STSDYn1IFDPWt_1FKiwhDph83XaGc0o0/edit?usp=sharing"",""งบพรบ!CA63"")"),0)</f>
        <v>0</v>
      </c>
      <c r="N157" s="93">
        <f ca="1">IFERROR(__xludf.DUMMYFUNCTION("IMPORTRANGE(""https://docs.google.com/spreadsheets/d/1MeEWN-I1oV_STSDYn1IFDPWt_1FKiwhDph83XaGc0o0/edit?usp=sharing"",""งบพรบ!CC63"")"),0)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34430</v>
      </c>
      <c r="N165" s="155">
        <f t="shared" ca="1" si="84"/>
        <v>34430</v>
      </c>
      <c r="O165" s="155">
        <f t="shared" ref="O165:O173" ca="1" si="85">IF(L165&gt;0,N165*100/L165,0)</f>
        <v>163.56294536817103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34430</v>
      </c>
      <c r="N167" s="93">
        <f t="shared" ca="1" si="87"/>
        <v>34430</v>
      </c>
      <c r="O167" s="93">
        <f t="shared" ca="1" si="85"/>
        <v>163.56294536817103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34430</v>
      </c>
      <c r="N168" s="497">
        <f t="shared" ca="1" si="88"/>
        <v>34430</v>
      </c>
      <c r="O168" s="497">
        <f t="shared" ca="1" si="85"/>
        <v>163.56294536817103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IFERROR(__xludf.DUMMYFUNCTION("IMPORTRANGE(""https://docs.google.com/spreadsheets/d/1MeEWN-I1oV_STSDYn1IFDPWt_1FKiwhDph83XaGc0o0/edit?usp=sharing"",""งบพรบ!CE63"")"),21050)</f>
        <v>21050</v>
      </c>
      <c r="M170" s="93">
        <f ca="1">IFERROR(__xludf.DUMMYFUNCTION("IMPORTRANGE(""https://docs.google.com/spreadsheets/d/1MeEWN-I1oV_STSDYn1IFDPWt_1FKiwhDph83XaGc0o0/edit?usp=sharing"",""งบพรบ!CJ63"")"),34430)</f>
        <v>34430</v>
      </c>
      <c r="N170" s="93">
        <f ca="1">IFERROR(__xludf.DUMMYFUNCTION("IMPORTRANGE(""https://docs.google.com/spreadsheets/d/1MeEWN-I1oV_STSDYn1IFDPWt_1FKiwhDph83XaGc0o0/edit?usp=sharing"",""งบพรบ!CL63"")"),34430)</f>
        <v>34430</v>
      </c>
      <c r="O170" s="93">
        <f t="shared" ca="1" si="85"/>
        <v>163.56294536817103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IFERROR(__xludf.DUMMYFUNCTION("IMPORTRANGE(""https://docs.google.com/spreadsheets/d/1MeEWN-I1oV_STSDYn1IFDPWt_1FKiwhDph83XaGc0o0/edit?usp=sharing"",""งบพรบ!CH63"")"),0)</f>
        <v>0</v>
      </c>
      <c r="M173" s="93">
        <f ca="1">IFERROR(__xludf.DUMMYFUNCTION("IMPORTRANGE(""https://docs.google.com/spreadsheets/d/1MeEWN-I1oV_STSDYn1IFDPWt_1FKiwhDph83XaGc0o0/edit?usp=sharing"",""งบพรบ!CK63"")"),0)</f>
        <v>0</v>
      </c>
      <c r="N173" s="93">
        <f ca="1">IFERROR(__xludf.DUMMYFUNCTION("IMPORTRANGE(""https://docs.google.com/spreadsheets/d/1MeEWN-I1oV_STSDYn1IFDPWt_1FKiwhDph83XaGc0o0/edit?usp=sharing"",""งบพรบ!CM63"")"),0)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112000</v>
      </c>
      <c r="M181" s="155">
        <f t="shared" ca="1" si="92"/>
        <v>117720</v>
      </c>
      <c r="N181" s="155">
        <f t="shared" ca="1" si="92"/>
        <v>101200</v>
      </c>
      <c r="O181" s="155">
        <f t="shared" ref="O181:O189" ca="1" si="93">IF(L181&gt;0,N181*100/L181,0)</f>
        <v>90.357142857142861</v>
      </c>
      <c r="P181" s="155">
        <f t="shared" ref="P181:P189" ca="1" si="94">IF(M181&gt;0,N181*100/M181,0)</f>
        <v>85.96670064559973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112000</v>
      </c>
      <c r="M183" s="93">
        <f t="shared" ca="1" si="95"/>
        <v>117720</v>
      </c>
      <c r="N183" s="93">
        <f t="shared" ca="1" si="95"/>
        <v>101200</v>
      </c>
      <c r="O183" s="93">
        <f t="shared" ca="1" si="93"/>
        <v>90.357142857142861</v>
      </c>
      <c r="P183" s="93">
        <f t="shared" ca="1" si="94"/>
        <v>85.96670064559973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112000</v>
      </c>
      <c r="M184" s="497">
        <f t="shared" ca="1" si="96"/>
        <v>117720</v>
      </c>
      <c r="N184" s="497">
        <f t="shared" ca="1" si="96"/>
        <v>101200</v>
      </c>
      <c r="O184" s="497">
        <f t="shared" ca="1" si="93"/>
        <v>90.357142857142861</v>
      </c>
      <c r="P184" s="497">
        <f t="shared" ca="1" si="94"/>
        <v>85.96670064559973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IFERROR(__xludf.DUMMYFUNCTION("IMPORTRANGE(""https://docs.google.com/spreadsheets/d/1MeEWN-I1oV_STSDYn1IFDPWt_1FKiwhDph83XaGc0o0/edit?usp=sharing"",""งบพรบ!CO63"")"),112000)</f>
        <v>112000</v>
      </c>
      <c r="M186" s="93">
        <f ca="1">IFERROR(__xludf.DUMMYFUNCTION("IMPORTRANGE(""https://docs.google.com/spreadsheets/d/1MeEWN-I1oV_STSDYn1IFDPWt_1FKiwhDph83XaGc0o0/edit?usp=sharing"",""งบพรบ!CT63"")"),117720)</f>
        <v>117720</v>
      </c>
      <c r="N186" s="93">
        <f ca="1">IFERROR(__xludf.DUMMYFUNCTION("IMPORTRANGE(""https://docs.google.com/spreadsheets/d/1MeEWN-I1oV_STSDYn1IFDPWt_1FKiwhDph83XaGc0o0/edit?usp=sharing"",""งบพรบ!CV63"")"),101200)</f>
        <v>101200</v>
      </c>
      <c r="O186" s="93">
        <f t="shared" ca="1" si="93"/>
        <v>90.357142857142861</v>
      </c>
      <c r="P186" s="93">
        <f t="shared" ca="1" si="94"/>
        <v>85.96670064559973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IFERROR(__xludf.DUMMYFUNCTION("IMPORTRANGE(""https://docs.google.com/spreadsheets/d/1MeEWN-I1oV_STSDYn1IFDPWt_1FKiwhDph83XaGc0o0/edit?usp=sharing"",""งบพรบ!CR63"")"),0)</f>
        <v>0</v>
      </c>
      <c r="M189" s="93">
        <f ca="1">IFERROR(__xludf.DUMMYFUNCTION("IMPORTRANGE(""https://docs.google.com/spreadsheets/d/1MeEWN-I1oV_STSDYn1IFDPWt_1FKiwhDph83XaGc0o0/edit?usp=sharing"",""งบพรบ!CU63"")"),0)</f>
        <v>0</v>
      </c>
      <c r="N189" s="93">
        <f ca="1">IFERROR(__xludf.DUMMYFUNCTION("IMPORTRANGE(""https://docs.google.com/spreadsheets/d/1MeEWN-I1oV_STSDYn1IFDPWt_1FKiwhDph83XaGc0o0/edit?usp=sharing"",""งบพรบ!CW63"")"),0)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IFERROR(__xludf.DUMMYFUNCTION("IMPORTRANGE(""https://docs.google.com/spreadsheets/d/1QqKyyYR6Q21VydFLVH3TRQUabQu_ym0Zz7PgGX0-kHA/edit?usp=sharing"",""แผน!Z63"")"),6000)</f>
        <v>6000</v>
      </c>
      <c r="M191" s="155"/>
      <c r="N191" s="276">
        <v>2740</v>
      </c>
      <c r="O191" s="155">
        <f ca="1">IF(L191&gt;0,N191*100/L191,0)</f>
        <v>45.666666666666664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13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13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IFERROR(__xludf.DUMMYFUNCTION("IMPORTRANGE(""https://docs.google.com/spreadsheets/d/1QqKyyYR6Q21VydFLVH3TRQUabQu_ym0Zz7PgGX0-kHA/edit?usp=sharing"",""แผน!AE63"")"),3000)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IFERROR(__xludf.DUMMYFUNCTION("IMPORTRANGE(""https://docs.google.com/spreadsheets/d/1QqKyyYR6Q21VydFLVH3TRQUabQu_ym0Zz7PgGX0-kHA/edit?usp=sharing"",""แผน!AF63"")"),24000)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IFERROR(__xludf.DUMMYFUNCTION("IMPORTRANGE(""https://docs.google.com/spreadsheets/d/1QqKyyYR6Q21VydFLVH3TRQUabQu_ym0Zz7PgGX0-kHA/edit?usp=sharing"",""แผน!AG63"")"),12000)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IFERROR(__xludf.DUMMYFUNCTION("IMPORTRANGE(""https://docs.google.com/spreadsheets/d/1QqKyyYR6Q21VydFLVH3TRQUabQu_ym0Zz7PgGX0-kHA/edit?usp=sharing"",""แผน!AQ63"")"),5000)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IFERROR(__xludf.DUMMYFUNCTION("IMPORTRANGE(""https://docs.google.com/spreadsheets/d/1QqKyyYR6Q21VydFLVH3TRQUabQu_ym0Zz7PgGX0-kHA/edit?usp=sharing"",""แผน!AT63"")"),20000)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IFERROR(__xludf.DUMMYFUNCTION("IMPORTRANGE(""https://docs.google.com/spreadsheets/d/1QqKyyYR6Q21VydFLVH3TRQUabQu_ym0Zz7PgGX0-kHA/edit?usp=sharing"",""แผน!AT63"")"),20000)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59000</v>
      </c>
      <c r="M227" s="356"/>
      <c r="N227" s="356">
        <f t="shared" ref="N227:N231" si="107">N238+N249</f>
        <v>50150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17000</v>
      </c>
      <c r="M228" s="93"/>
      <c r="N228" s="93">
        <f t="shared" si="107"/>
        <v>8150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32000</v>
      </c>
      <c r="M229" s="93"/>
      <c r="N229" s="93">
        <f t="shared" si="107"/>
        <v>32000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59000</v>
      </c>
      <c r="M238" s="155"/>
      <c r="N238" s="155">
        <f>N239+N240+N241+N242</f>
        <v>50150</v>
      </c>
      <c r="O238" s="155">
        <f ca="1">IF(L238&gt;0,N238*100/L238,0)</f>
        <v>85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IFERROR(__xludf.DUMMYFUNCTION("IMPORTRANGE(""https://docs.google.com/spreadsheets/d/1QqKyyYR6Q21VydFLVH3TRQUabQu_ym0Zz7PgGX0-kHA/edit?usp=sharing"",""แผน!AV63"")"),17000)</f>
        <v>17000</v>
      </c>
      <c r="M239" s="283"/>
      <c r="N239" s="872">
        <v>8150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IFERROR(__xludf.DUMMYFUNCTION("IMPORTRANGE(""https://docs.google.com/spreadsheets/d/1QqKyyYR6Q21VydFLVH3TRQUabQu_ym0Zz7PgGX0-kHA/edit?usp=sharing"",""แผน!AW63"")"),32000)</f>
        <v>32000</v>
      </c>
      <c r="M240" s="283"/>
      <c r="N240" s="872">
        <v>32000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IFERROR(__xludf.DUMMYFUNCTION("IMPORTRANGE(""https://docs.google.com/spreadsheets/d/1QqKyyYR6Q21VydFLVH3TRQUabQu_ym0Zz7PgGX0-kHA/edit?usp=sharing"",""แผน!AX63"")"),0)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IFERROR(__xludf.DUMMYFUNCTION("IMPORTRANGE(""https://docs.google.com/spreadsheets/d/1QqKyyYR6Q21VydFLVH3TRQUabQu_ym0Zz7PgGX0-kHA/edit?usp=sharing"",""แผน!AY63"")"),10000)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IFERROR(__xludf.DUMMYFUNCTION("IMPORTRANGE(""https://docs.google.com/spreadsheets/d/1QqKyyYR6Q21VydFLVH3TRQUabQu_ym0Zz7PgGX0-kHA/edit?usp=sharing"",""แผน!BE63"")"),20)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IFERROR(__xludf.DUMMYFUNCTION("IMPORTRANGE(""https://docs.google.com/spreadsheets/d/1MeEWN-I1oV_STSDYn1IFDPWt_1FKiwhDph83XaGc0o0/edit?usp=sharing"",""งบพรบ!CY63"")"),26900)</f>
        <v>26900</v>
      </c>
      <c r="M266" s="93">
        <f ca="1">IFERROR(__xludf.DUMMYFUNCTION("IMPORTRANGE(""https://docs.google.com/spreadsheets/d/1MeEWN-I1oV_STSDYn1IFDPWt_1FKiwhDph83XaGc0o0/edit?usp=sharing"",""งบพรบ!DD63"")"),26900)</f>
        <v>26900</v>
      </c>
      <c r="N266" s="93">
        <f ca="1">IFERROR(__xludf.DUMMYFUNCTION("IMPORTRANGE(""https://docs.google.com/spreadsheets/d/1MeEWN-I1oV_STSDYn1IFDPWt_1FKiwhDph83XaGc0o0/edit?usp=sharing"",""งบพรบ!DF63"")"),23900)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IFERROR(__xludf.DUMMYFUNCTION("IMPORTRANGE(""https://docs.google.com/spreadsheets/d/1MeEWN-I1oV_STSDYn1IFDPWt_1FKiwhDph83XaGc0o0/edit?usp=sharing"",""งบพรบ!DB63"")"),0)</f>
        <v>0</v>
      </c>
      <c r="M269" s="93">
        <f ca="1">IFERROR(__xludf.DUMMYFUNCTION("IMPORTRANGE(""https://docs.google.com/spreadsheets/d/1MeEWN-I1oV_STSDYn1IFDPWt_1FKiwhDph83XaGc0o0/edit?usp=sharing"",""งบพรบ!DE63"")"),0)</f>
        <v>0</v>
      </c>
      <c r="N269" s="93">
        <f ca="1">IFERROR(__xludf.DUMMYFUNCTION("IMPORTRANGE(""https://docs.google.com/spreadsheets/d/1MeEWN-I1oV_STSDYn1IFDPWt_1FKiwhDph83XaGc0o0/edit?usp=sharing"",""งบพรบ!DG63"")"),0)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IFERROR(__xludf.DUMMYFUNCTION("IMPORTRANGE(""https://docs.google.com/spreadsheets/d/1MeEWN-I1oV_STSDYn1IFDPWt_1FKiwhDph83XaGc0o0/edit?usp=sharing"",""งบพรบ!DI63"")"),0)</f>
        <v>0</v>
      </c>
      <c r="M282" s="93">
        <f ca="1">IFERROR(__xludf.DUMMYFUNCTION("IMPORTRANGE(""https://docs.google.com/spreadsheets/d/1MeEWN-I1oV_STSDYn1IFDPWt_1FKiwhDph83XaGc0o0/edit?usp=sharing"",""งบพรบ!DN63"")"),0)</f>
        <v>0</v>
      </c>
      <c r="N282" s="93">
        <f ca="1">IFERROR(__xludf.DUMMYFUNCTION("IMPORTRANGE(""https://docs.google.com/spreadsheets/d/1MeEWN-I1oV_STSDYn1IFDPWt_1FKiwhDph83XaGc0o0/edit?usp=sharing"",""งบพรบ!DP63"")"),0)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IFERROR(__xludf.DUMMYFUNCTION("IMPORTRANGE(""https://docs.google.com/spreadsheets/d/1MeEWN-I1oV_STSDYn1IFDPWt_1FKiwhDph83XaGc0o0/edit?usp=sharing"",""งบพรบ!DL63"")"),0)</f>
        <v>0</v>
      </c>
      <c r="M285" s="93">
        <f ca="1">IFERROR(__xludf.DUMMYFUNCTION("IMPORTRANGE(""https://docs.google.com/spreadsheets/d/1MeEWN-I1oV_STSDYn1IFDPWt_1FKiwhDph83XaGc0o0/edit?usp=sharing"",""งบพรบ!DO63"")"),0)</f>
        <v>0</v>
      </c>
      <c r="N285" s="93">
        <f ca="1">IFERROR(__xludf.DUMMYFUNCTION("IMPORTRANGE(""https://docs.google.com/spreadsheets/d/1MeEWN-I1oV_STSDYn1IFDPWt_1FKiwhDph83XaGc0o0/edit?usp=sharing"",""งบพรบ!DQ63"")"),0)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IFERROR(__xludf.DUMMYFUNCTION("IMPORTRANGE(""https://docs.google.com/spreadsheets/d/1QqKyyYR6Q21VydFLVH3TRQUabQu_ym0Zz7PgGX0-kHA/edit?usp=sharing"",""แผน!EC63"")"),0)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IFERROR(__xludf.DUMMYFUNCTION("IMPORTRANGE(""https://docs.google.com/spreadsheets/d/1QqKyyYR6Q21VydFLVH3TRQUabQu_ym0Zz7PgGX0-kHA/edit?usp=sharing"",""แผน!EB63"")"),0)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IFERROR(__xludf.DUMMYFUNCTION("IMPORTRANGE(""https://docs.google.com/spreadsheets/d/1QqKyyYR6Q21VydFLVH3TRQUabQu_ym0Zz7PgGX0-kHA/edit?usp=sharing"",""แผน!EB63"")"),0)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IFERROR(__xludf.DUMMYFUNCTION("IMPORTRANGE(""https://docs.google.com/spreadsheets/d/1QqKyyYR6Q21VydFLVH3TRQUabQu_ym0Zz7PgGX0-kHA/edit?usp=sharing"",""แผน!EB63"")"),0)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IFERROR(__xludf.DUMMYFUNCTION("IMPORTRANGE(""https://docs.google.com/spreadsheets/d/1QqKyyYR6Q21VydFLVH3TRQUabQu_ym0Zz7PgGX0-kHA/edit?usp=sharing"",""แผน!EB63"")"),0)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IFERROR(__xludf.DUMMYFUNCTION("IMPORTRANGE(""https://docs.google.com/spreadsheets/d/1QqKyyYR6Q21VydFLVH3TRQUabQu_ym0Zz7PgGX0-kHA/edit?usp=sharing"",""แผน!EB63"")"),0)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206800</v>
      </c>
      <c r="N298" s="155">
        <f t="shared" ca="1" si="135"/>
        <v>153600</v>
      </c>
      <c r="O298" s="155">
        <f t="shared" ref="O298:O306" ca="1" si="136">IF(L298&gt;0,N298*100/L298,0)</f>
        <v>74.274661508704057</v>
      </c>
      <c r="P298" s="155">
        <f t="shared" ref="P298:P306" ca="1" si="137">IF(M298&gt;0,N298*100/M298,0)</f>
        <v>74.274661508704057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206800</v>
      </c>
      <c r="N300" s="93">
        <f t="shared" ca="1" si="138"/>
        <v>153600</v>
      </c>
      <c r="O300" s="93">
        <f t="shared" ca="1" si="136"/>
        <v>74.274661508704057</v>
      </c>
      <c r="P300" s="93">
        <f t="shared" ca="1" si="137"/>
        <v>74.274661508704057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206800</v>
      </c>
      <c r="N301" s="497">
        <f t="shared" ca="1" si="139"/>
        <v>153600</v>
      </c>
      <c r="O301" s="497">
        <f t="shared" ca="1" si="136"/>
        <v>74.274661508704057</v>
      </c>
      <c r="P301" s="497">
        <f t="shared" ca="1" si="137"/>
        <v>74.274661508704057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IFERROR(__xludf.DUMMYFUNCTION("IMPORTRANGE(""https://docs.google.com/spreadsheets/d/1MeEWN-I1oV_STSDYn1IFDPWt_1FKiwhDph83XaGc0o0/edit?usp=sharing"",""งบพรบ!DS63"")"),206800)</f>
        <v>206800</v>
      </c>
      <c r="M303" s="93">
        <f ca="1">IFERROR(__xludf.DUMMYFUNCTION("IMPORTRANGE(""https://docs.google.com/spreadsheets/d/1MeEWN-I1oV_STSDYn1IFDPWt_1FKiwhDph83XaGc0o0/edit?usp=sharing"",""งบพรบ!DX63"")"),206800)</f>
        <v>206800</v>
      </c>
      <c r="N303" s="93">
        <f ca="1">IFERROR(__xludf.DUMMYFUNCTION("IMPORTRANGE(""https://docs.google.com/spreadsheets/d/1MeEWN-I1oV_STSDYn1IFDPWt_1FKiwhDph83XaGc0o0/edit?usp=sharing"",""งบพรบ!DZ63"")"),153600)</f>
        <v>153600</v>
      </c>
      <c r="O303" s="93">
        <f t="shared" ca="1" si="136"/>
        <v>74.274661508704057</v>
      </c>
      <c r="P303" s="93">
        <f t="shared" ca="1" si="137"/>
        <v>74.274661508704057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IFERROR(__xludf.DUMMYFUNCTION("IMPORTRANGE(""https://docs.google.com/spreadsheets/d/1MeEWN-I1oV_STSDYn1IFDPWt_1FKiwhDph83XaGc0o0/edit?usp=sharing"",""งบพรบ!DV63"")"),0)</f>
        <v>0</v>
      </c>
      <c r="M306" s="93">
        <f ca="1">IFERROR(__xludf.DUMMYFUNCTION("IMPORTRANGE(""https://docs.google.com/spreadsheets/d/1MeEWN-I1oV_STSDYn1IFDPWt_1FKiwhDph83XaGc0o0/edit?usp=sharing"",""งบพรบ!DY63"")"),0)</f>
        <v>0</v>
      </c>
      <c r="N306" s="93">
        <f ca="1">IFERROR(__xludf.DUMMYFUNCTION("IMPORTRANGE(""https://docs.google.com/spreadsheets/d/1MeEWN-I1oV_STSDYn1IFDPWt_1FKiwhDph83XaGc0o0/edit?usp=sharing"",""งบพรบ!EA63"")"),0)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IFERROR(__xludf.DUMMYFUNCTION("IMPORTRANGE(""https://docs.google.com/spreadsheets/d/1QqKyyYR6Q21VydFLVH3TRQUabQu_ym0Zz7PgGX0-kHA/edit?usp=sharing"",""แผน!ED63"")"),15)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IFERROR(__xludf.DUMMYFUNCTION("IMPORTRANGE(""https://docs.google.com/spreadsheets/d/1QqKyyYR6Q21VydFLVH3TRQUabQu_ym0Zz7PgGX0-kHA/edit?usp=sharing"",""แผน!ED63"")"),15)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IFERROR(__xludf.DUMMYFUNCTION("IMPORTRANGE(""https://docs.google.com/spreadsheets/d/1QqKyyYR6Q21VydFLVH3TRQUabQu_ym0Zz7PgGX0-kHA/edit?usp=sharing"",""แผน!ED63"")"),15)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IFERROR(__xludf.DUMMYFUNCTION("IMPORTRANGE(""https://docs.google.com/spreadsheets/d/1QqKyyYR6Q21VydFLVH3TRQUabQu_ym0Zz7PgGX0-kHA/edit?usp=sharing"",""แผน!EE63"")"),3)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IFERROR(__xludf.DUMMYFUNCTION("IMPORTRANGE(""https://docs.google.com/spreadsheets/d/1MeEWN-I1oV_STSDYn1IFDPWt_1FKiwhDph83XaGc0o0/edit?usp=sharing"",""งบพรบ!EC63"")"),0)</f>
        <v>0</v>
      </c>
      <c r="M320" s="93">
        <f ca="1">IFERROR(__xludf.DUMMYFUNCTION("IMPORTRANGE(""https://docs.google.com/spreadsheets/d/1MeEWN-I1oV_STSDYn1IFDPWt_1FKiwhDph83XaGc0o0/edit?usp=sharing"",""งบพรบ!EH63"")"),0)</f>
        <v>0</v>
      </c>
      <c r="N320" s="93">
        <f ca="1">IFERROR(__xludf.DUMMYFUNCTION("IMPORTRANGE(""https://docs.google.com/spreadsheets/d/1MeEWN-I1oV_STSDYn1IFDPWt_1FKiwhDph83XaGc0o0/edit?usp=sharing"",""งบพรบ!EJ63"")"),0)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IFERROR(__xludf.DUMMYFUNCTION("IMPORTRANGE(""https://docs.google.com/spreadsheets/d/1MeEWN-I1oV_STSDYn1IFDPWt_1FKiwhDph83XaGc0o0/edit?usp=sharing"",""งบพรบ!EF63"")"),0)</f>
        <v>0</v>
      </c>
      <c r="M323" s="93">
        <f ca="1">IFERROR(__xludf.DUMMYFUNCTION("IMPORTRANGE(""https://docs.google.com/spreadsheets/d/1MeEWN-I1oV_STSDYn1IFDPWt_1FKiwhDph83XaGc0o0/edit?usp=sharing"",""งบพรบ!EI63"")"),0)</f>
        <v>0</v>
      </c>
      <c r="N323" s="93">
        <f ca="1">IFERROR(__xludf.DUMMYFUNCTION("IMPORTRANGE(""https://docs.google.com/spreadsheets/d/1MeEWN-I1oV_STSDYn1IFDPWt_1FKiwhDph83XaGc0o0/edit?usp=sharing"",""งบพรบ!EK63"")"),0)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IFERROR(__xludf.DUMMYFUNCTION("IMPORTRANGE(""https://docs.google.com/spreadsheets/d/1QqKyyYR6Q21VydFLVH3TRQUabQu_ym0Zz7PgGX0-kHA/edit?usp=sharing"",""แผน!EG63"")"),1000)</f>
        <v>1000</v>
      </c>
      <c r="J327" s="444">
        <f ca="1">J338+J341+J342+J343</f>
        <v>1312</v>
      </c>
      <c r="K327" s="445">
        <f ca="1">IF(I327&gt;0,J327*100/I327,0)</f>
        <v>131.19999999999999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161500</v>
      </c>
      <c r="N328" s="155">
        <f t="shared" ca="1" si="149"/>
        <v>118500</v>
      </c>
      <c r="O328" s="155">
        <f t="shared" ref="O328:O336" ca="1" si="150">IF(L328&gt;0,N328*100/L328,0)</f>
        <v>74.528301886792448</v>
      </c>
      <c r="P328" s="155">
        <f t="shared" ref="P328:P336" ca="1" si="151">IF(M328&gt;0,N328*100/M328,0)</f>
        <v>73.374613003095973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161500</v>
      </c>
      <c r="N330" s="93">
        <f t="shared" ca="1" si="152"/>
        <v>118500</v>
      </c>
      <c r="O330" s="93">
        <f t="shared" ca="1" si="150"/>
        <v>74.528301886792448</v>
      </c>
      <c r="P330" s="93">
        <f t="shared" ca="1" si="151"/>
        <v>73.374613003095973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161500</v>
      </c>
      <c r="N331" s="497">
        <f t="shared" ca="1" si="153"/>
        <v>118500</v>
      </c>
      <c r="O331" s="497">
        <f t="shared" ca="1" si="150"/>
        <v>74.528301886792448</v>
      </c>
      <c r="P331" s="497">
        <f t="shared" ca="1" si="151"/>
        <v>73.374613003095973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IFERROR(__xludf.DUMMYFUNCTION("IMPORTRANGE(""https://docs.google.com/spreadsheets/d/1MeEWN-I1oV_STSDYn1IFDPWt_1FKiwhDph83XaGc0o0/edit?usp=sharing"",""งบพรบ!EM63"")"),159000)</f>
        <v>159000</v>
      </c>
      <c r="M333" s="93">
        <f ca="1">IFERROR(__xludf.DUMMYFUNCTION("IMPORTRANGE(""https://docs.google.com/spreadsheets/d/1MeEWN-I1oV_STSDYn1IFDPWt_1FKiwhDph83XaGc0o0/edit?usp=sharing"",""งบพรบ!ER63"")"),161500)</f>
        <v>161500</v>
      </c>
      <c r="N333" s="93">
        <f ca="1">IFERROR(__xludf.DUMMYFUNCTION("IMPORTRANGE(""https://docs.google.com/spreadsheets/d/1MeEWN-I1oV_STSDYn1IFDPWt_1FKiwhDph83XaGc0o0/edit?usp=sharing"",""งบพรบ!ET63"")"),118500)</f>
        <v>118500</v>
      </c>
      <c r="O333" s="93">
        <f t="shared" ca="1" si="150"/>
        <v>74.528301886792448</v>
      </c>
      <c r="P333" s="93">
        <f t="shared" ca="1" si="151"/>
        <v>73.374613003095973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IFERROR(__xludf.DUMMYFUNCTION("IMPORTRANGE(""https://docs.google.com/spreadsheets/d/1MeEWN-I1oV_STSDYn1IFDPWt_1FKiwhDph83XaGc0o0/edit?usp=sharing"",""งบพรบ!EP63"")"),0)</f>
        <v>0</v>
      </c>
      <c r="M336" s="93">
        <f ca="1">IFERROR(__xludf.DUMMYFUNCTION("IMPORTRANGE(""https://docs.google.com/spreadsheets/d/1MeEWN-I1oV_STSDYn1IFDPWt_1FKiwhDph83XaGc0o0/edit?usp=sharing"",""งบพรบ!ES63"")"),0)</f>
        <v>0</v>
      </c>
      <c r="N336" s="93">
        <f ca="1">IFERROR(__xludf.DUMMYFUNCTION("IMPORTRANGE(""https://docs.google.com/spreadsheets/d/1MeEWN-I1oV_STSDYn1IFDPWt_1FKiwhDph83XaGc0o0/edit?usp=sharing"",""งบพรบ!EU63"")"),0)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IFERROR(__xludf.DUMMYFUNCTION("IMPORTRANGE(""https://docs.google.com/spreadsheets/d/1QqKyyYR6Q21VydFLVH3TRQUabQu_ym0Zz7PgGX0-kHA/edit?usp=sharing"",""แผน!EG63"")"),1000)</f>
        <v>1000</v>
      </c>
      <c r="J338" s="270">
        <f ca="1">IFERROR(__xludf.DUMMYFUNCTION("IMPORTRANGE(""https://docs.google.com/spreadsheets/d/1kVcqe37tkHyjCSG3S0O1AXqVkqjo8mSIZil3BcpIysc/edit?usp=sharing"",""ศูนย์!D63"")"),1219)</f>
        <v>1219</v>
      </c>
      <c r="K338" s="497">
        <f ca="1">IF(I338&gt;0,J338*100/I338,0)</f>
        <v>121.9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IFERROR(__xludf.DUMMYFUNCTION("IMPORTRANGE(""https://docs.google.com/spreadsheets/d/1QqKyyYR6Q21VydFLVH3TRQUabQu_ym0Zz7PgGX0-kHA/edit?usp=sharing"",""แผน!EH63"")"),3)</f>
        <v>3</v>
      </c>
      <c r="J340" s="270">
        <f ca="1">IFERROR(__xludf.DUMMYFUNCTION("IMPORTRANGE(""https://docs.google.com/spreadsheets/d/1kVcqe37tkHyjCSG3S0O1AXqVkqjo8mSIZil3BcpIysc/edit?usp=sharing"",""ศูนย์!E63"")"),6)</f>
        <v>6</v>
      </c>
      <c r="K340" s="497">
        <f ca="1">IF(I340&gt;0,J340*100/I340,0)</f>
        <v>200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IFERROR(__xludf.DUMMYFUNCTION("IMPORTRANGE(""https://docs.google.com/spreadsheets/d/1kVcqe37tkHyjCSG3S0O1AXqVkqjo8mSIZil3BcpIysc/edit?usp=sharing"",""ศูนย์!F63"")"),93)</f>
        <v>93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774650</v>
      </c>
      <c r="M345" s="155">
        <f t="shared" ca="1" si="155"/>
        <v>772150</v>
      </c>
      <c r="N345" s="155">
        <f t="shared" ca="1" si="155"/>
        <v>579322</v>
      </c>
      <c r="O345" s="155">
        <f t="shared" ref="O345:O353" ca="1" si="156">IF(L345&gt;0,N345*100/L345,0)</f>
        <v>74.784999677273603</v>
      </c>
      <c r="P345" s="155">
        <f t="shared" ref="P345:P353" ca="1" si="157">IF(M345&gt;0,N345*100/M345,0)</f>
        <v>75.027132033931224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774650</v>
      </c>
      <c r="M347" s="93">
        <f t="shared" ca="1" si="158"/>
        <v>772150</v>
      </c>
      <c r="N347" s="93">
        <f t="shared" ca="1" si="158"/>
        <v>579322</v>
      </c>
      <c r="O347" s="93">
        <f t="shared" ca="1" si="156"/>
        <v>74.784999677273603</v>
      </c>
      <c r="P347" s="93">
        <f t="shared" ca="1" si="157"/>
        <v>75.027132033931224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585250</v>
      </c>
      <c r="M348" s="497">
        <f t="shared" ca="1" si="159"/>
        <v>582750</v>
      </c>
      <c r="N348" s="497">
        <f t="shared" ca="1" si="159"/>
        <v>389922</v>
      </c>
      <c r="O348" s="497">
        <f t="shared" ca="1" si="156"/>
        <v>66.624861170439985</v>
      </c>
      <c r="P348" s="497">
        <f t="shared" ca="1" si="157"/>
        <v>66.910682110682117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IFERROR(__xludf.DUMMYFUNCTION("IMPORTRANGE(""https://docs.google.com/spreadsheets/d/1MeEWN-I1oV_STSDYn1IFDPWt_1FKiwhDph83XaGc0o0/edit?usp=sharing"",""งบพรบ!EW63"")"),585250)</f>
        <v>585250</v>
      </c>
      <c r="M350" s="93">
        <f ca="1">IFERROR(__xludf.DUMMYFUNCTION("IMPORTRANGE(""https://docs.google.com/spreadsheets/d/1MeEWN-I1oV_STSDYn1IFDPWt_1FKiwhDph83XaGc0o0/edit?usp=sharing"",""งบพรบ!FB63"")"),582750)</f>
        <v>582750</v>
      </c>
      <c r="N350" s="93">
        <f ca="1">IFERROR(__xludf.DUMMYFUNCTION("IMPORTRANGE(""https://docs.google.com/spreadsheets/d/1MeEWN-I1oV_STSDYn1IFDPWt_1FKiwhDph83XaGc0o0/edit?usp=sharing"",""งบพรบ!FD63"")"),389922)</f>
        <v>389922</v>
      </c>
      <c r="O350" s="93">
        <f t="shared" ca="1" si="156"/>
        <v>66.624861170439985</v>
      </c>
      <c r="P350" s="93">
        <f t="shared" ca="1" si="157"/>
        <v>66.910682110682117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189400</v>
      </c>
      <c r="M351" s="497">
        <f t="shared" ca="1" si="160"/>
        <v>189400</v>
      </c>
      <c r="N351" s="497">
        <f t="shared" ca="1" si="160"/>
        <v>189400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IFERROR(__xludf.DUMMYFUNCTION("IMPORTRANGE(""https://docs.google.com/spreadsheets/d/1MeEWN-I1oV_STSDYn1IFDPWt_1FKiwhDph83XaGc0o0/edit?usp=sharing"",""งบพรบ!EZ63"")"),189400)</f>
        <v>189400</v>
      </c>
      <c r="M353" s="93">
        <f ca="1">IFERROR(__xludf.DUMMYFUNCTION("IMPORTRANGE(""https://docs.google.com/spreadsheets/d/1MeEWN-I1oV_STSDYn1IFDPWt_1FKiwhDph83XaGc0o0/edit?usp=sharing"",""งบพรบ!FC63"")"),189400)</f>
        <v>189400</v>
      </c>
      <c r="N353" s="93">
        <f ca="1">IFERROR(__xludf.DUMMYFUNCTION("IMPORTRANGE(""https://docs.google.com/spreadsheets/d/1MeEWN-I1oV_STSDYn1IFDPWt_1FKiwhDph83XaGc0o0/edit?usp=sharing"",""งบพรบ!FE63"")"),189400)</f>
        <v>189400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IFERROR(__xludf.DUMMYFUNCTION("IMPORTRANGE(""https://docs.google.com/spreadsheets/d/1QqKyyYR6Q21VydFLVH3TRQUabQu_ym0Zz7PgGX0-kHA/edit?usp=sharing"",""แผน!EP63"")"),40)</f>
        <v>40</v>
      </c>
      <c r="J355" s="464">
        <f ca="1">J362</f>
        <v>25</v>
      </c>
      <c r="K355" s="465">
        <f ca="1">IF(I355&gt;0,J355*100/I355,0)</f>
        <v>62.5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IFERROR(__xludf.DUMMYFUNCTION("IMPORTRANGE(""https://docs.google.com/spreadsheets/d/1XWAQStnk-4SwqDmLtmXYiTMKHgktTP8We1SCoS47DrQ/edit?usp=sharing"",""จัดที่ดิน!W63"")"),20)</f>
        <v>20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IFERROR(__xludf.DUMMYFUNCTION("IMPORTRANGE(""https://docs.google.com/spreadsheets/d/1QqKyyYR6Q21VydFLVH3TRQUabQu_ym0Zz7PgGX0-kHA/edit?usp=sharing"",""แผน!EO63"")"),500)</f>
        <v>500</v>
      </c>
      <c r="J359" s="270">
        <f ca="1">IFERROR(__xludf.DUMMYFUNCTION("IMPORTRANGE(""https://docs.google.com/spreadsheets/d/1XWAQStnk-4SwqDmLtmXYiTMKHgktTP8We1SCoS47DrQ/edit?usp=sharing"",""จัดที่ดิน!X63"")"),502.919999999999)</f>
        <v>502.91999999999899</v>
      </c>
      <c r="K359" s="497">
        <f t="shared" ca="1" si="161"/>
        <v>100.58399999999979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IFERROR(__xludf.DUMMYFUNCTION("IMPORTRANGE(""https://docs.google.com/spreadsheets/d/1QqKyyYR6Q21VydFLVH3TRQUabQu_ym0Zz7PgGX0-kHA/edit?usp=sharing"",""แผน!EP63"")"),40)</f>
        <v>40</v>
      </c>
      <c r="J360" s="270">
        <f ca="1">IFERROR(__xludf.DUMMYFUNCTION("IMPORTRANGE(""https://docs.google.com/spreadsheets/d/1XWAQStnk-4SwqDmLtmXYiTMKHgktTP8We1SCoS47DrQ/edit?usp=sharing"",""จัดที่ดิน!Y63"")"),17)</f>
        <v>17</v>
      </c>
      <c r="K360" s="497">
        <f t="shared" ca="1" si="161"/>
        <v>42.5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IFERROR(__xludf.DUMMYFUNCTION("IMPORTRANGE(""https://docs.google.com/spreadsheets/d/1XWAQStnk-4SwqDmLtmXYiTMKHgktTP8We1SCoS47DrQ/edit?usp=sharing"",""จัดที่ดิน!Z63"")"),454.25)</f>
        <v>454.25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IFERROR(__xludf.DUMMYFUNCTION("IMPORTRANGE(""https://docs.google.com/spreadsheets/d/1QqKyyYR6Q21VydFLVH3TRQUabQu_ym0Zz7PgGX0-kHA/edit?usp=sharing"",""แผน!EP63"")"),40)</f>
        <v>40</v>
      </c>
      <c r="J362" s="270">
        <f ca="1">IFERROR(__xludf.DUMMYFUNCTION("IMPORTRANGE(""https://docs.google.com/spreadsheets/d/1XWAQStnk-4SwqDmLtmXYiTMKHgktTP8We1SCoS47DrQ/edit?usp=sharing"",""จัดที่ดิน!AA63"")"),25)</f>
        <v>25</v>
      </c>
      <c r="K362" s="497">
        <f t="shared" ca="1" si="161"/>
        <v>62.5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IFERROR(__xludf.DUMMYFUNCTION("IMPORTRANGE(""https://docs.google.com/spreadsheets/d/1XWAQStnk-4SwqDmLtmXYiTMKHgktTP8We1SCoS47DrQ/edit?usp=sharing"",""จัดที่ดิน!AB63"")"),504.28)</f>
        <v>504.28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</v>
      </c>
      <c r="J364" s="478">
        <f t="shared" ca="1" si="162"/>
        <v>121</v>
      </c>
      <c r="K364" s="479">
        <f t="shared" ca="1" si="161"/>
        <v>151.25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IFERROR(__xludf.DUMMYFUNCTION("IMPORTRANGE(""https://docs.google.com/spreadsheets/d/1QqKyyYR6Q21VydFLVH3TRQUabQu_ym0Zz7PgGX0-kHA/edit?usp=sharing"",""แผน!EJ63"")"),16)</f>
        <v>16</v>
      </c>
      <c r="J365" s="490">
        <f ca="1">J372</f>
        <v>16</v>
      </c>
      <c r="K365" s="491">
        <f t="shared" ca="1" si="161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IFERROR(__xludf.DUMMYFUNCTION("IMPORTRANGE(""https://docs.google.com/spreadsheets/d/1XWAQStnk-4SwqDmLtmXYiTMKHgktTP8We1SCoS47DrQ/edit?usp=sharing"",""จัดที่ดิน!E63"")"),11)</f>
        <v>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IFERROR(__xludf.DUMMYFUNCTION("IMPORTRANGE(""https://docs.google.com/spreadsheets/d/1QqKyyYR6Q21VydFLVH3TRQUabQu_ym0Zz7PgGX0-kHA/edit?usp=sharing"",""แผน!EI63"")"),200)</f>
        <v>200</v>
      </c>
      <c r="J369" s="270">
        <f ca="1">IFERROR(__xludf.DUMMYFUNCTION("IMPORTRANGE(""https://docs.google.com/spreadsheets/d/1XWAQStnk-4SwqDmLtmXYiTMKHgktTP8We1SCoS47DrQ/edit?usp=sharing"",""จัดที่ดิน!F63"")"),403.89)</f>
        <v>403.89</v>
      </c>
      <c r="K369" s="497">
        <f t="shared" ca="1" si="163"/>
        <v>201.94499999999999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IFERROR(__xludf.DUMMYFUNCTION("IMPORTRANGE(""https://docs.google.com/spreadsheets/d/1QqKyyYR6Q21VydFLVH3TRQUabQu_ym0Zz7PgGX0-kHA/edit?usp=sharing"",""แผน!EJ63"")"),16)</f>
        <v>16</v>
      </c>
      <c r="J370" s="270">
        <f ca="1">IFERROR(__xludf.DUMMYFUNCTION("IMPORTRANGE(""https://docs.google.com/spreadsheets/d/1XWAQStnk-4SwqDmLtmXYiTMKHgktTP8We1SCoS47DrQ/edit?usp=sharing"",""จัดที่ดิน!G63"")"),13)</f>
        <v>13</v>
      </c>
      <c r="K370" s="497">
        <f t="shared" ca="1" si="163"/>
        <v>81.25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IFERROR(__xludf.DUMMYFUNCTION("IMPORTRANGE(""https://docs.google.com/spreadsheets/d/1XWAQStnk-4SwqDmLtmXYiTMKHgktTP8We1SCoS47DrQ/edit?usp=sharing"",""จัดที่ดิน!H63"")"),380.25)</f>
        <v>380.25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IFERROR(__xludf.DUMMYFUNCTION("IMPORTRANGE(""https://docs.google.com/spreadsheets/d/1QqKyyYR6Q21VydFLVH3TRQUabQu_ym0Zz7PgGX0-kHA/edit?usp=sharing"",""แผน!EJ63"")"),16)</f>
        <v>16</v>
      </c>
      <c r="J372" s="270">
        <f ca="1">IFERROR(__xludf.DUMMYFUNCTION("IMPORTRANGE(""https://docs.google.com/spreadsheets/d/1XWAQStnk-4SwqDmLtmXYiTMKHgktTP8We1SCoS47DrQ/edit?usp=sharing"",""จัดที่ดิน!I63"")"),16)</f>
        <v>16</v>
      </c>
      <c r="K372" s="497">
        <f t="shared" ca="1" si="163"/>
        <v>100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IFERROR(__xludf.DUMMYFUNCTION("IMPORTRANGE(""https://docs.google.com/spreadsheets/d/1XWAQStnk-4SwqDmLtmXYiTMKHgktTP8We1SCoS47DrQ/edit?usp=sharing"",""จัดที่ดิน!J63"")"),405.25)</f>
        <v>405.25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IFERROR(__xludf.DUMMYFUNCTION("IMPORTRANGE(""https://docs.google.com/spreadsheets/d/1QqKyyYR6Q21VydFLVH3TRQUabQu_ym0Zz7PgGX0-kHA/edit?usp=sharing"",""แผน!EU63"")"),64)</f>
        <v>64</v>
      </c>
      <c r="J374" s="490">
        <f ca="1">J381</f>
        <v>105</v>
      </c>
      <c r="K374" s="491">
        <f t="shared" ca="1" si="163"/>
        <v>164.0625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IFERROR(__xludf.DUMMYFUNCTION("IMPORTRANGE(""https://docs.google.com/spreadsheets/d/1XWAQStnk-4SwqDmLtmXYiTMKHgktTP8We1SCoS47DrQ/edit?usp=sharing"",""จัดที่ดิน!AH63"")"),9)</f>
        <v>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IFERROR(__xludf.DUMMYFUNCTION("IMPORTRANGE(""https://docs.google.com/spreadsheets/d/1QqKyyYR6Q21VydFLVH3TRQUabQu_ym0Zz7PgGX0-kHA/edit?usp=sharing"",""แผน!ET63"")"),300)</f>
        <v>300</v>
      </c>
      <c r="J378" s="270">
        <f ca="1">IFERROR(__xludf.DUMMYFUNCTION("IMPORTRANGE(""https://docs.google.com/spreadsheets/d/1XWAQStnk-4SwqDmLtmXYiTMKHgktTP8We1SCoS47DrQ/edit?usp=sharing"",""จัดที่ดิน!AI63"")"),99.03)</f>
        <v>99.03</v>
      </c>
      <c r="K378" s="497">
        <f t="shared" ca="1" si="164"/>
        <v>33.01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IFERROR(__xludf.DUMMYFUNCTION("IMPORTRANGE(""https://docs.google.com/spreadsheets/d/1QqKyyYR6Q21VydFLVH3TRQUabQu_ym0Zz7PgGX0-kHA/edit?usp=sharing"",""แผน!EU63"")"),64)</f>
        <v>64</v>
      </c>
      <c r="J379" s="270">
        <f ca="1">IFERROR(__xludf.DUMMYFUNCTION("IMPORTRANGE(""https://docs.google.com/spreadsheets/d/1XWAQStnk-4SwqDmLtmXYiTMKHgktTP8We1SCoS47DrQ/edit?usp=sharing"",""จัดที่ดิน!AJ63"")"),6)</f>
        <v>6</v>
      </c>
      <c r="K379" s="497">
        <f t="shared" ca="1" si="164"/>
        <v>9.375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IFERROR(__xludf.DUMMYFUNCTION("IMPORTRANGE(""https://docs.google.com/spreadsheets/d/1XWAQStnk-4SwqDmLtmXYiTMKHgktTP8We1SCoS47DrQ/edit?usp=sharing"",""จัดที่ดิน!AK63"")"),84.58)</f>
        <v>84.58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IFERROR(__xludf.DUMMYFUNCTION("IMPORTRANGE(""https://docs.google.com/spreadsheets/d/1QqKyyYR6Q21VydFLVH3TRQUabQu_ym0Zz7PgGX0-kHA/edit?usp=sharing"",""แผน!EU63"")"),64)</f>
        <v>64</v>
      </c>
      <c r="J381" s="270">
        <f ca="1">IFERROR(__xludf.DUMMYFUNCTION("IMPORTRANGE(""https://docs.google.com/spreadsheets/d/1XWAQStnk-4SwqDmLtmXYiTMKHgktTP8We1SCoS47DrQ/edit?usp=sharing"",""จัดที่ดิน!AL63"")"),105)</f>
        <v>105</v>
      </c>
      <c r="K381" s="497">
        <f t="shared" ca="1" si="164"/>
        <v>164.0625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IFERROR(__xludf.DUMMYFUNCTION("IMPORTRANGE(""https://docs.google.com/spreadsheets/d/1XWAQStnk-4SwqDmLtmXYiTMKHgktTP8We1SCoS47DrQ/edit?usp=sharing"",""จัดที่ดิน!AM63"")"),1813.62999999999)</f>
        <v>1813.6299999999901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IFERROR(__xludf.DUMMYFUNCTION("IMPORTRANGE(""https://docs.google.com/spreadsheets/d/1QqKyyYR6Q21VydFLVH3TRQUabQu_ym0Zz7PgGX0-kHA/edit?usp=sharing"",""แผน!EW63"")"),5)</f>
        <v>5</v>
      </c>
      <c r="J385" s="501">
        <f ca="1">IFERROR(__xludf.DUMMYFUNCTION("IMPORTRANGE(""https://docs.google.com/spreadsheets/d/1XWAQStnk-4SwqDmLtmXYiTMKHgktTP8We1SCoS47DrQ/edit?usp=sharing"",""จัดที่ดิน!AP63"")"),0)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IFERROR(__xludf.DUMMYFUNCTION("IMPORTRANGE(""https://docs.google.com/spreadsheets/d/1MeEWN-I1oV_STSDYn1IFDPWt_1FKiwhDph83XaGc0o0/edit?usp=sharing"",""งบพรบ!FG63"")"),0)</f>
        <v>0</v>
      </c>
      <c r="M394" s="93">
        <f ca="1">IFERROR(__xludf.DUMMYFUNCTION("IMPORTRANGE(""https://docs.google.com/spreadsheets/d/1MeEWN-I1oV_STSDYn1IFDPWt_1FKiwhDph83XaGc0o0/edit?usp=sharing"",""งบพรบ!FL63"")"),0)</f>
        <v>0</v>
      </c>
      <c r="N394" s="93">
        <f ca="1">IFERROR(__xludf.DUMMYFUNCTION("IMPORTRANGE(""https://docs.google.com/spreadsheets/d/1MeEWN-I1oV_STSDYn1IFDPWt_1FKiwhDph83XaGc0o0/edit?usp=sharing"",""งบพรบ!FN63"")"),0)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IFERROR(__xludf.DUMMYFUNCTION("IMPORTRANGE(""https://docs.google.com/spreadsheets/d/1MeEWN-I1oV_STSDYn1IFDPWt_1FKiwhDph83XaGc0o0/edit?usp=sharing"",""งบพรบ!FJ63"")"),0)</f>
        <v>0</v>
      </c>
      <c r="M397" s="93">
        <f ca="1">IFERROR(__xludf.DUMMYFUNCTION("IMPORTRANGE(""https://docs.google.com/spreadsheets/d/1MeEWN-I1oV_STSDYn1IFDPWt_1FKiwhDph83XaGc0o0/edit?usp=sharing"",""งบพรบ!FM63"")"),0)</f>
        <v>0</v>
      </c>
      <c r="N397" s="93">
        <f ca="1">IFERROR(__xludf.DUMMYFUNCTION("IMPORTRANGE(""https://docs.google.com/spreadsheets/d/1MeEWN-I1oV_STSDYn1IFDPWt_1FKiwhDph83XaGc0o0/edit?usp=sharing"",""งบพรบ!FO63"")"),0)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IFERROR(__xludf.DUMMYFUNCTION("IMPORTRANGE(""https://docs.google.com/spreadsheets/d/1MeEWN-I1oV_STSDYn1IFDPWt_1FKiwhDph83XaGc0o0/edit?usp=sharing"",""งบพรบ!FQ63"")"),0)</f>
        <v>0</v>
      </c>
      <c r="M407" s="93">
        <f ca="1">IFERROR(__xludf.DUMMYFUNCTION("IMPORTRANGE(""https://docs.google.com/spreadsheets/d/1MeEWN-I1oV_STSDYn1IFDPWt_1FKiwhDph83XaGc0o0/edit?usp=sharing"",""งบพรบ!FV63"")"),0)</f>
        <v>0</v>
      </c>
      <c r="N407" s="93">
        <f ca="1">IFERROR(__xludf.DUMMYFUNCTION("IMPORTRANGE(""https://docs.google.com/spreadsheets/d/1MeEWN-I1oV_STSDYn1IFDPWt_1FKiwhDph83XaGc0o0/edit?usp=sharing"",""งบพรบ!FX63"")"),0)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IFERROR(__xludf.DUMMYFUNCTION("IMPORTRANGE(""https://docs.google.com/spreadsheets/d/1MeEWN-I1oV_STSDYn1IFDPWt_1FKiwhDph83XaGc0o0/edit?usp=sharing"",""งบพรบ!FT63"")"),0)</f>
        <v>0</v>
      </c>
      <c r="M410" s="93">
        <f ca="1">IFERROR(__xludf.DUMMYFUNCTION("IMPORTRANGE(""https://docs.google.com/spreadsheets/d/1MeEWN-I1oV_STSDYn1IFDPWt_1FKiwhDph83XaGc0o0/edit?usp=sharing"",""งบพรบ!FW63"")"),0)</f>
        <v>0</v>
      </c>
      <c r="N410" s="93">
        <f ca="1">IFERROR(__xludf.DUMMYFUNCTION("IMPORTRANGE(""https://docs.google.com/spreadsheets/d/1MeEWN-I1oV_STSDYn1IFDPWt_1FKiwhDph83XaGc0o0/edit?usp=sharing"",""งบพรบ!FY63"")"),0)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745683</v>
      </c>
      <c r="M414" s="549">
        <f t="shared" ca="1" si="181"/>
        <v>745683</v>
      </c>
      <c r="N414" s="549">
        <f t="shared" si="181"/>
        <v>491843</v>
      </c>
      <c r="O414" s="549">
        <f ca="1">IF(L414&gt;0,N414*100/L414,0)</f>
        <v>65.958725088274775</v>
      </c>
      <c r="P414" s="549">
        <f ca="1">IF(M414&gt;0,N414*100/M414,0)</f>
        <v>65.958725088274775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83760</v>
      </c>
      <c r="M419" s="155">
        <f t="shared" ca="1" si="184"/>
        <v>83760</v>
      </c>
      <c r="N419" s="155">
        <f t="shared" si="184"/>
        <v>67770</v>
      </c>
      <c r="O419" s="155">
        <f t="shared" ref="O419:O424" ca="1" si="185">IF(L419&gt;0,N419*100/L419,0)</f>
        <v>80.909742120343836</v>
      </c>
      <c r="P419" s="155">
        <f t="shared" ref="P419:P424" ca="1" si="186">IF(M419&gt;0,N419*100/M419,0)</f>
        <v>80.909742120343836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83760</v>
      </c>
      <c r="M421" s="93">
        <f t="shared" ca="1" si="187"/>
        <v>83760</v>
      </c>
      <c r="N421" s="93">
        <f t="shared" si="187"/>
        <v>67770</v>
      </c>
      <c r="O421" s="93">
        <f t="shared" ca="1" si="185"/>
        <v>80.909742120343836</v>
      </c>
      <c r="P421" s="93">
        <f t="shared" ca="1" si="186"/>
        <v>80.909742120343836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83760</v>
      </c>
      <c r="M422" s="497">
        <f t="shared" ca="1" si="188"/>
        <v>83760</v>
      </c>
      <c r="N422" s="497">
        <f t="shared" si="188"/>
        <v>67770</v>
      </c>
      <c r="O422" s="497">
        <f t="shared" ca="1" si="185"/>
        <v>80.909742120343836</v>
      </c>
      <c r="P422" s="497">
        <f t="shared" ca="1" si="186"/>
        <v>80.909742120343836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IFERROR(__xludf.DUMMYFUNCTION("IMPORTRANGE(""https://docs.google.com/spreadsheets/d/1QqKyyYR6Q21VydFLVH3TRQUabQu_ym0Zz7PgGX0-kHA/edit?usp=sharing"",""แผน!EY63"")"),83760)</f>
        <v>83760</v>
      </c>
      <c r="M424" s="93">
        <f ca="1">L424</f>
        <v>83760</v>
      </c>
      <c r="N424" s="93">
        <f>N425+N426+N427+N428</f>
        <v>67770</v>
      </c>
      <c r="O424" s="93">
        <f t="shared" ca="1" si="185"/>
        <v>80.909742120343836</v>
      </c>
      <c r="P424" s="93">
        <f t="shared" ca="1" si="186"/>
        <v>80.909742120343836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31470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IFERROR(__xludf.DUMMYFUNCTION("IMPORTRANGE(""https://docs.google.com/spreadsheets/d/1QqKyyYR6Q21VydFLVH3TRQUabQu_ym0Zz7PgGX0-kHA/edit?usp=sharing"",""แผน!FC63"")"),15)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IFERROR(__xludf.DUMMYFUNCTION("IMPORTRANGE(""https://docs.google.com/spreadsheets/d/1QqKyyYR6Q21VydFLVH3TRQUabQu_ym0Zz7PgGX0-kHA/edit?usp=sharing"",""แผน!FD63"")"),0)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IFERROR(__xludf.DUMMYFUNCTION("IMPORTRANGE(""https://docs.google.com/spreadsheets/d/1QqKyyYR6Q21VydFLVH3TRQUabQu_ym0Zz7PgGX0-kHA/edit?usp=sharing"",""แผน!FF63"")"),15)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90</v>
      </c>
      <c r="J443" s="565">
        <f t="shared" si="196"/>
        <v>90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172480</v>
      </c>
      <c r="M444" s="195">
        <f t="shared" ca="1" si="197"/>
        <v>172480</v>
      </c>
      <c r="N444" s="195">
        <f t="shared" si="197"/>
        <v>169880</v>
      </c>
      <c r="O444" s="195">
        <f t="shared" ref="O444:O449" ca="1" si="198">IF(L444&gt;0,N444*100/L444,0)</f>
        <v>98.49257884972171</v>
      </c>
      <c r="P444" s="195">
        <f t="shared" ref="P444:P449" ca="1" si="199">IF(M444&gt;0,N444*100/M444,0)</f>
        <v>98.49257884972171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172480</v>
      </c>
      <c r="M446" s="93">
        <f t="shared" ca="1" si="200"/>
        <v>172480</v>
      </c>
      <c r="N446" s="93">
        <f t="shared" si="200"/>
        <v>169880</v>
      </c>
      <c r="O446" s="93">
        <f t="shared" ca="1" si="198"/>
        <v>98.49257884972171</v>
      </c>
      <c r="P446" s="93">
        <f t="shared" ca="1" si="199"/>
        <v>98.49257884972171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172480</v>
      </c>
      <c r="M447" s="497">
        <f t="shared" ca="1" si="201"/>
        <v>172480</v>
      </c>
      <c r="N447" s="497">
        <f t="shared" si="201"/>
        <v>169880</v>
      </c>
      <c r="O447" s="497">
        <f t="shared" ca="1" si="198"/>
        <v>98.49257884972171</v>
      </c>
      <c r="P447" s="497">
        <f t="shared" ca="1" si="199"/>
        <v>98.49257884972171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IFERROR(__xludf.DUMMYFUNCTION("IMPORTRANGE(""https://docs.google.com/spreadsheets/d/1QqKyyYR6Q21VydFLVH3TRQUabQu_ym0Zz7PgGX0-kHA/edit?usp=sharing"",""แผน!FJ63"")"),172480)</f>
        <v>172480</v>
      </c>
      <c r="M449" s="93">
        <f ca="1">L449</f>
        <v>172480</v>
      </c>
      <c r="N449" s="93">
        <f>N450+N451+N452+N453</f>
        <v>169880</v>
      </c>
      <c r="O449" s="93">
        <f t="shared" ca="1" si="198"/>
        <v>98.49257884972171</v>
      </c>
      <c r="P449" s="93">
        <f t="shared" ca="1" si="199"/>
        <v>98.49257884972171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77880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91000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1000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IFERROR(__xludf.DUMMYFUNCTION("IMPORTRANGE(""https://docs.google.com/spreadsheets/d/1QqKyyYR6Q21VydFLVH3TRQUabQu_ym0Zz7PgGX0-kHA/edit?usp=sharing"",""แผน!FN63"")"),30)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IFERROR(__xludf.DUMMYFUNCTION("IMPORTRANGE(""https://docs.google.com/spreadsheets/d/1QqKyyYR6Q21VydFLVH3TRQUabQu_ym0Zz7PgGX0-kHA/edit?usp=sharing"",""แผน!FO63"")"),90)</f>
        <v>90</v>
      </c>
      <c r="J462" s="215">
        <v>90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IFERROR(__xludf.DUMMYFUNCTION("IMPORTRANGE(""https://docs.google.com/spreadsheets/d/1QqKyyYR6Q21VydFLVH3TRQUabQu_ym0Zz7PgGX0-kHA/edit?usp=sharing"",""แผน!FO63"")"),90)</f>
        <v>90</v>
      </c>
      <c r="J463" s="215">
        <v>90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IFERROR(__xludf.DUMMYFUNCTION("IMPORTRANGE(""https://docs.google.com/spreadsheets/d/1QqKyyYR6Q21VydFLVH3TRQUabQu_ym0Zz7PgGX0-kHA/edit?usp=sharing"",""แผน!FN63"")"),30)</f>
        <v>30</v>
      </c>
      <c r="J464" s="215">
        <v>30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IFERROR(__xludf.DUMMYFUNCTION("IMPORTRANGE(""https://docs.google.com/spreadsheets/d/1QqKyyYR6Q21VydFLVH3TRQUabQu_ym0Zz7PgGX0-kHA/edit?usp=sharing"",""แผน!FX63"")"),31)</f>
        <v>31</v>
      </c>
      <c r="J465" s="585">
        <f>J485+J489+J492</f>
        <v>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IFERROR(__xludf.DUMMYFUNCTION("IMPORTRANGE(""https://docs.google.com/spreadsheets/d/1QqKyyYR6Q21VydFLVH3TRQUabQu_ym0Zz7PgGX0-kHA/edit?usp=sharing"",""แผน!FW63"")"),300)</f>
        <v>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255463</v>
      </c>
      <c r="M467" s="195">
        <f t="shared" ca="1" si="206"/>
        <v>255463</v>
      </c>
      <c r="N467" s="195">
        <f t="shared" si="206"/>
        <v>251193</v>
      </c>
      <c r="O467" s="195">
        <f t="shared" ref="O467:O472" ca="1" si="207">IF(L467&gt;0,N467*100/L467,0)</f>
        <v>98.32852507016672</v>
      </c>
      <c r="P467" s="195">
        <f t="shared" ref="P467:P472" ca="1" si="208">IF(M467&gt;0,N467*100/M467,0)</f>
        <v>98.32852507016672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255463</v>
      </c>
      <c r="M469" s="93">
        <f t="shared" ca="1" si="209"/>
        <v>255463</v>
      </c>
      <c r="N469" s="93">
        <f t="shared" si="209"/>
        <v>251193</v>
      </c>
      <c r="O469" s="93">
        <f t="shared" ca="1" si="207"/>
        <v>98.32852507016672</v>
      </c>
      <c r="P469" s="93">
        <f t="shared" ca="1" si="208"/>
        <v>98.32852507016672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255463</v>
      </c>
      <c r="M470" s="497">
        <f t="shared" ca="1" si="210"/>
        <v>255463</v>
      </c>
      <c r="N470" s="497">
        <f t="shared" si="210"/>
        <v>251193</v>
      </c>
      <c r="O470" s="497">
        <f t="shared" ca="1" si="207"/>
        <v>98.32852507016672</v>
      </c>
      <c r="P470" s="497">
        <f t="shared" ca="1" si="208"/>
        <v>98.32852507016672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IFERROR(__xludf.DUMMYFUNCTION("IMPORTRANGE(""https://docs.google.com/spreadsheets/d/1QqKyyYR6Q21VydFLVH3TRQUabQu_ym0Zz7PgGX0-kHA/edit?usp=sharing"",""แผน!FS63"")"),255463)</f>
        <v>255463</v>
      </c>
      <c r="M472" s="93">
        <f ca="1">L472</f>
        <v>255463</v>
      </c>
      <c r="N472" s="93">
        <f>N473+N474+N475+N476</f>
        <v>251193</v>
      </c>
      <c r="O472" s="93">
        <f t="shared" ca="1" si="207"/>
        <v>98.32852507016672</v>
      </c>
      <c r="P472" s="93">
        <f t="shared" ca="1" si="208"/>
        <v>98.32852507016672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32070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190000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29123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IFERROR(__xludf.DUMMYFUNCTION("IMPORTRANGE(""https://docs.google.com/spreadsheets/d/1QqKyyYR6Q21VydFLVH3TRQUabQu_ym0Zz7PgGX0-kHA/edit?usp=sharing"",""แผน!GU63"")"),0)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ca="1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0</v>
      </c>
      <c r="O546" s="93">
        <f t="shared" ca="1" si="237"/>
        <v>0</v>
      </c>
      <c r="P546" s="93">
        <f t="shared" ca="1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0</v>
      </c>
      <c r="O547" s="497">
        <f t="shared" ca="1" si="237"/>
        <v>0</v>
      </c>
      <c r="P547" s="497">
        <f t="shared" ca="1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IFERROR(__xludf.DUMMYFUNCTION("IMPORTRANGE(""https://docs.google.com/spreadsheets/d/1QqKyyYR6Q21VydFLVH3TRQUabQu_ym0Zz7PgGX0-kHA/edit?usp=sharing"",""แผน!HB63"")"),218300)</f>
        <v>218300</v>
      </c>
      <c r="M549" s="93">
        <f ca="1">L549</f>
        <v>218300</v>
      </c>
      <c r="N549" s="93">
        <f>N550+N551+N552+N553+N554</f>
        <v>0</v>
      </c>
      <c r="O549" s="93">
        <f t="shared" ca="1" si="237"/>
        <v>0</v>
      </c>
      <c r="P549" s="93">
        <f t="shared" ca="1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IFERROR(__xludf.DUMMYFUNCTION("IMPORTRANGE(""https://docs.google.com/spreadsheets/d/1QqKyyYR6Q21VydFLVH3TRQUabQu_ym0Zz7PgGX0-kHA/edit?usp=sharing"",""แผน!HH63"")"),0)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IFERROR(__xludf.DUMMYFUNCTION("IMPORTRANGE(""https://docs.google.com/spreadsheets/d/1QqKyyYR6Q21VydFLVH3TRQUabQu_ym0Zz7PgGX0-kHA/edit?usp=sharing"",""แผน!HG63"")"),0)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IFERROR(__xludf.DUMMYFUNCTION("IMPORTRANGE(""https://docs.google.com/spreadsheets/d/1QqKyyYR6Q21VydFLVH3TRQUabQu_ym0Zz7PgGX0-kHA/edit?usp=sharing"",""แผน!HH63"")"),0)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IFERROR(__xludf.DUMMYFUNCTION("IMPORTRANGE(""https://docs.google.com/spreadsheets/d/1QqKyyYR6Q21VydFLVH3TRQUabQu_ym0Zz7PgGX0-kHA/edit?usp=sharing"",""แผน!HG63"")"),0)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IFERROR(__xludf.DUMMYFUNCTION("IMPORTRANGE(""https://docs.google.com/spreadsheets/d/1QqKyyYR6Q21VydFLVH3TRQUabQu_ym0Zz7PgGX0-kHA/edit?usp=sharing"",""แผน!HH63"")"),0)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IFERROR(__xludf.DUMMYFUNCTION("IMPORTRANGE(""https://docs.google.com/spreadsheets/d/1QqKyyYR6Q21VydFLVH3TRQUabQu_ym0Zz7PgGX0-kHA/edit?usp=sharing"",""แผน!HG63"")"),0)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792.63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IFERROR(__xludf.DUMMYFUNCTION("IMPORTRANGE(""https://docs.google.com/spreadsheets/d/1QqKyyYR6Q21VydFLVH3TRQUabQu_ym0Zz7PgGX0-kHA/edit?usp=sharing"",""แผน!HJ63"")"),792.63)</f>
        <v>792.63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IFERROR(__xludf.DUMMYFUNCTION("IMPORTRANGE(""https://docs.google.com/spreadsheets/d/1QqKyyYR6Q21VydFLVH3TRQUabQu_ym0Zz7PgGX0-kHA/edit?usp=sharing"",""แผน!HI63"")"),21)</f>
        <v>21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IFERROR(__xludf.DUMMYFUNCTION("IMPORTRANGE(""https://docs.google.com/spreadsheets/d/1QqKyyYR6Q21VydFLVH3TRQUabQu_ym0Zz7PgGX0-kHA/edit?usp=sharing"",""แผน!HL63"")"),0)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IFERROR(__xludf.DUMMYFUNCTION("IMPORTRANGE(""https://docs.google.com/spreadsheets/d/1QqKyyYR6Q21VydFLVH3TRQUabQu_ym0Zz7PgGX0-kHA/edit?usp=sharing"",""แผน!HK63"")"),0)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IFERROR(__xludf.DUMMYFUNCTION("IMPORTRANGE(""https://docs.google.com/spreadsheets/d/1QqKyyYR6Q21VydFLVH3TRQUabQu_ym0Zz7PgGX0-kHA/edit?usp=sharing"",""แผน!HN63"")"),0)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IFERROR(__xludf.DUMMYFUNCTION("IMPORTRANGE(""https://docs.google.com/spreadsheets/d/1QqKyyYR6Q21VydFLVH3TRQUabQu_ym0Zz7PgGX0-kHA/edit?usp=sharing"",""แผน!HS63"")"),0)</f>
        <v>0</v>
      </c>
      <c r="J647" s="270">
        <f ca="1">IFERROR(__xludf.DUMMYFUNCTION("IMPORTRANGE(""https://docs.google.com/spreadsheets/d/1XWAQStnk-4SwqDmLtmXYiTMKHgktTP8We1SCoS47DrQ/edit?usp=sharing"",""จัดที่ดิน!AU63"")"),0)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IFERROR(__xludf.DUMMYFUNCTION("IMPORTRANGE(""https://docs.google.com/spreadsheets/d/1QqKyyYR6Q21VydFLVH3TRQUabQu_ym0Zz7PgGX0-kHA/edit?usp=sharing"",""แผน!HS63"")"),0)</f>
        <v>0</v>
      </c>
      <c r="J649" s="270">
        <f ca="1">IFERROR(__xludf.DUMMYFUNCTION("IMPORTRANGE(""https://docs.google.com/spreadsheets/d/1XWAQStnk-4SwqDmLtmXYiTMKHgktTP8We1SCoS47DrQ/edit?usp=sharing"",""จัดที่ดิน!AW63"")"),0)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IFERROR(__xludf.DUMMYFUNCTION("IMPORTRANGE(""https://docs.google.com/spreadsheets/d/1QqKyyYR6Q21VydFLVH3TRQUabQu_ym0Zz7PgGX0-kHA/edit?usp=sharing"",""แผน!HS63"")"),0)</f>
        <v>0</v>
      </c>
      <c r="J651" s="270">
        <f ca="1">IFERROR(__xludf.DUMMYFUNCTION("IMPORTRANGE(""https://docs.google.com/spreadsheets/d/1XWAQStnk-4SwqDmLtmXYiTMKHgktTP8We1SCoS47DrQ/edit?usp=sharing"",""จัดที่ดิน!AY63"")"),0)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IFERROR(__xludf.DUMMYFUNCTION("IMPORTRANGE(""https://docs.google.com/spreadsheets/d/1XWAQStnk-4SwqDmLtmXYiTMKHgktTP8We1SCoS47DrQ/edit?usp=sharing"",""จัดที่ดิน!AZ63"")"),0)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3000</v>
      </c>
      <c r="O655" s="195">
        <f t="shared" ref="O655:O660" ca="1" si="274">IF(L655&gt;0,N655*100/L655,0)</f>
        <v>31.914893617021278</v>
      </c>
      <c r="P655" s="195">
        <f t="shared" ref="P655:P660" ca="1" si="275">IF(M655&gt;0,N655*100/M655,0)</f>
        <v>31.914893617021278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3000</v>
      </c>
      <c r="O657" s="93">
        <f t="shared" ca="1" si="274"/>
        <v>31.914893617021278</v>
      </c>
      <c r="P657" s="93">
        <f t="shared" ca="1" si="275"/>
        <v>31.914893617021278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3000</v>
      </c>
      <c r="O658" s="497">
        <f t="shared" ca="1" si="274"/>
        <v>31.914893617021278</v>
      </c>
      <c r="P658" s="497">
        <f t="shared" ca="1" si="275"/>
        <v>31.914893617021278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IFERROR(__xludf.DUMMYFUNCTION("IMPORTRANGE(""https://docs.google.com/spreadsheets/d/1QqKyyYR6Q21VydFLVH3TRQUabQu_ym0Zz7PgGX0-kHA/edit?usp=sharing"",""แผน!HV63"")"),9400)</f>
        <v>9400</v>
      </c>
      <c r="M660" s="93">
        <f ca="1">L660</f>
        <v>9400</v>
      </c>
      <c r="N660" s="93">
        <f>N661+N662+N663+N664</f>
        <v>3000</v>
      </c>
      <c r="O660" s="93">
        <f t="shared" ca="1" si="274"/>
        <v>31.914893617021278</v>
      </c>
      <c r="P660" s="93">
        <f t="shared" ca="1" si="275"/>
        <v>31.914893617021278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IFERROR(__xludf.DUMMYFUNCTION("IMPORTRANGE(""https://docs.google.com/spreadsheets/d/1QqKyyYR6Q21VydFLVH3TRQUabQu_ym0Zz7PgGX0-kHA/edit?usp=sharing"",""แผน!IA63"")"),50)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IFERROR(__xludf.DUMMYFUNCTION("IMPORTRANGE(""https://docs.google.com/spreadsheets/d/1QqKyyYR6Q21VydFLVH3TRQUabQu_ym0Zz7PgGX0-kHA/edit?usp=sharing"",""แผน!HZ63"")"),4)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IFERROR(__xludf.DUMMYFUNCTION("IMPORTRANGE(""https://docs.google.com/spreadsheets/d/1QqKyyYR6Q21VydFLVH3TRQUabQu_ym0Zz7PgGX0-kHA/edit?usp=sharing"",""แผน!HZ63"")"),4)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6280</v>
      </c>
      <c r="M685" s="195">
        <f t="shared" ca="1" si="282"/>
        <v>6280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6280</v>
      </c>
      <c r="M687" s="93">
        <f t="shared" ca="1" si="285"/>
        <v>6280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6280</v>
      </c>
      <c r="M688" s="497">
        <f t="shared" ca="1" si="286"/>
        <v>6280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IFERROR(__xludf.DUMMYFUNCTION("IMPORTRANGE(""https://docs.google.com/spreadsheets/d/1QqKyyYR6Q21VydFLVH3TRQUabQu_ym0Zz7PgGX0-kHA/edit?usp=sharing"",""แผน!HW63"")"),6280)</f>
        <v>6280</v>
      </c>
      <c r="M690" s="93">
        <f ca="1">L690</f>
        <v>6280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IFERROR(__xludf.DUMMYFUNCTION("IMPORTRANGE(""https://docs.google.com/spreadsheets/d/1QqKyyYR6Q21VydFLVH3TRQUabQu_ym0Zz7PgGX0-kHA/edit?usp=sharing"",""แผน!IC63"")"),0)</f>
        <v>0</v>
      </c>
      <c r="J699" s="270">
        <f ca="1">IFERROR(__xludf.DUMMYFUNCTION("IMPORTRANGE(""https://docs.google.com/spreadsheets/d/1XWAQStnk-4SwqDmLtmXYiTMKHgktTP8We1SCoS47DrQ/edit?usp=sharing"",""จัดที่ดิน!BB63"")"),0)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IFERROR(__xludf.DUMMYFUNCTION("IMPORTRANGE(""https://docs.google.com/spreadsheets/d/1QqKyyYR6Q21VydFLVH3TRQUabQu_ym0Zz7PgGX0-kHA/edit?usp=sharing"",""แผน!ID63"")"),31)</f>
        <v>31</v>
      </c>
      <c r="J700" s="270">
        <f ca="1">IFERROR(__xludf.DUMMYFUNCTION("IMPORTRANGE(""https://docs.google.com/spreadsheets/d/1XWAQStnk-4SwqDmLtmXYiTMKHgktTP8We1SCoS47DrQ/edit?usp=sharing"",""จัดที่ดิน!BD63"")"),3)</f>
        <v>3</v>
      </c>
      <c r="K700" s="497">
        <f t="shared" ca="1" si="290"/>
        <v>9.67741935483871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IFERROR(__xludf.DUMMYFUNCTION("IMPORTRANGE(""https://docs.google.com/spreadsheets/d/1QqKyyYR6Q21VydFLVH3TRQUabQu_ym0Zz7PgGX0-kHA/edit?usp=sharing"",""แผน!IE63"")"),0)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IFERROR(__xludf.DUMMYFUNCTION("IMPORTRANGE(""https://docs.google.com/spreadsheets/d/1QqKyyYR6Q21VydFLVH3TRQUabQu_ym0Zz7PgGX0-kHA/edit?usp=sharing"",""แผน!IF63"")"),0)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IFERROR(__xludf.DUMMYFUNCTION("IMPORTRANGE(""https://docs.google.com/spreadsheets/d/1QqKyyYR6Q21VydFLVH3TRQUabQu_ym0Zz7PgGX0-kHA/edit?usp=sharing"",""แผน!IH63"")"),0)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IFERROR(__xludf.DUMMYFUNCTION("IMPORTRANGE(""https://docs.google.com/spreadsheets/d/1QqKyyYR6Q21VydFLVH3TRQUabQu_ym0Zz7PgGX0-kHA/edit?usp=sharing"",""แผน!II63"")"),0)</f>
        <v>0</v>
      </c>
      <c r="J720" s="270">
        <f ca="1">IFERROR(__xludf.DUMMYFUNCTION("IMPORTRANGE(""https://docs.google.com/spreadsheets/d/1XWAQStnk-4SwqDmLtmXYiTMKHgktTP8We1SCoS47DrQ/edit?usp=sharing"",""จัดที่ดิน!BH63"")"),0)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IFERROR(__xludf.DUMMYFUNCTION("IMPORTRANGE(""https://docs.google.com/spreadsheets/d/1QqKyyYR6Q21VydFLVH3TRQUabQu_ym0Zz7PgGX0-kHA/edit?usp=sharing"",""แผน!IJ63"")"),8)</f>
        <v>8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IFERROR(__xludf.DUMMYFUNCTION("IMPORTRANGE(""https://docs.google.com/spreadsheets/d/1QqKyyYR6Q21VydFLVH3TRQUabQu_ym0Zz7PgGX0-kHA/edit?usp=sharing"",""แผน!IK63"")"),16)</f>
        <v>16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IFERROR(__xludf.DUMMYFUNCTION("IMPORTRANGE(""https://docs.google.com/spreadsheets/d/1QqKyyYR6Q21VydFLVH3TRQUabQu_ym0Zz7PgGX0-kHA/edit?usp=sharing"",""แผน!IL63"")"),5)</f>
        <v>5</v>
      </c>
      <c r="J723" s="270">
        <f ca="1">IFERROR(__xludf.DUMMYFUNCTION("IMPORTRANGE(""https://docs.google.com/spreadsheets/d/1XWAQStnk-4SwqDmLtmXYiTMKHgktTP8We1SCoS47DrQ/edit?usp=sharing"",""จัดที่ดิน!BM63"")"),0)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IFERROR(__xludf.DUMMYFUNCTION("IMPORTRANGE(""https://docs.google.com/spreadsheets/d/1QqKyyYR6Q21VydFLVH3TRQUabQu_ym0Zz7PgGX0-kHA/edit?usp=sharing"",""แผน!IM63"")"),10)</f>
        <v>10</v>
      </c>
      <c r="J725" s="270">
        <f ca="1">IFERROR(__xludf.DUMMYFUNCTION("IMPORTRANGE(""https://docs.google.com/spreadsheets/d/1XWAQStnk-4SwqDmLtmXYiTMKHgktTP8We1SCoS47DrQ/edit?usp=sharing"",""จัดที่ดิน!BO63"")"),0)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IFERROR(__xludf.DUMMYFUNCTION("IMPORTRANGE(""https://docs.google.com/spreadsheets/d/1QqKyyYR6Q21VydFLVH3TRQUabQu_ym0Zz7PgGX0-kHA/edit?usp=sharing"",""แผน!IN63"")"),3)</f>
        <v>3</v>
      </c>
      <c r="J726" s="270">
        <f ca="1">IFERROR(__xludf.DUMMYFUNCTION("IMPORTRANGE(""https://docs.google.com/spreadsheets/d/1XWAQStnk-4SwqDmLtmXYiTMKHgktTP8We1SCoS47DrQ/edit?usp=sharing"",""จัดที่ดิน!BR63"")"),0)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IFERROR(__xludf.DUMMYFUNCTION("IMPORTRANGE(""https://docs.google.com/spreadsheets/d/1QqKyyYR6Q21VydFLVH3TRQUabQu_ym0Zz7PgGX0-kHA/edit?usp=sharing"",""แผน!IO63"")"),6)</f>
        <v>6</v>
      </c>
      <c r="J728" s="270">
        <f ca="1">IFERROR(__xludf.DUMMYFUNCTION("IMPORTRANGE(""https://docs.google.com/spreadsheets/d/1XWAQStnk-4SwqDmLtmXYiTMKHgktTP8We1SCoS47DrQ/edit?usp=sharing"",""จัดที่ดิน!BT63"")"),0)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IFERROR(__xludf.DUMMYFUNCTION("IMPORTRANGE(""https://docs.google.com/spreadsheets/d/1QqKyyYR6Q21VydFLVH3TRQUabQu_ym0Zz7PgGX0-kHA/edit?usp=sharing"",""แผน!IP63"")"),0)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IFERROR(__xludf.DUMMYFUNCTION("IMPORTRANGE(""https://docs.google.com/spreadsheets/d/1QqKyyYR6Q21VydFLVH3TRQUabQu_ym0Zz7PgGX0-kHA/edit?usp=sharing"",""แผน!JN63"")"),0)</f>
        <v>0</v>
      </c>
      <c r="J800" s="184">
        <f ca="1">IFERROR(__xludf.DUMMYFUNCTION("IMPORTRANGE(""https://docs.google.com/spreadsheets/d/1MaWodYyGHDf7siQLGxnXhG4mBNTNIuy296niS2xXulU/edit?usp=sharing"",""RTK!H63"")"),0)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IFERROR(__xludf.DUMMYFUNCTION("IMPORTRANGE(""https://docs.google.com/spreadsheets/d/19vJNZY_5yjcGF2XGBMNZRCAIB0Kwfpjp8YEOfu-bneM/edit?usp=sharing"",""งานกองทุน!D63"")"),8186909.31)</f>
        <v>8186909.3099999996</v>
      </c>
      <c r="J821" s="270">
        <f ca="1">IFERROR(__xludf.DUMMYFUNCTION("IMPORTRANGE(""https://docs.google.com/spreadsheets/d/19vJNZY_5yjcGF2XGBMNZRCAIB0Kwfpjp8YEOfu-bneM/edit?usp=sharing"",""งานกองทุน!F63"")"),3258001)</f>
        <v>3258001</v>
      </c>
      <c r="K821" s="497">
        <f t="shared" ref="K821:K828" ca="1" si="335">IF(I821&gt;0,J821*100/I821,0)</f>
        <v>39.795249667911612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IFERROR(__xludf.DUMMYFUNCTION("IMPORTRANGE(""https://docs.google.com/spreadsheets/d/19vJNZY_5yjcGF2XGBMNZRCAIB0Kwfpjp8YEOfu-bneM/edit?usp=sharing"",""งานกองทุน!C63"")"),183)</f>
        <v>183</v>
      </c>
      <c r="J822" s="270">
        <f ca="1">IFERROR(__xludf.DUMMYFUNCTION("IMPORTRANGE(""https://docs.google.com/spreadsheets/d/19vJNZY_5yjcGF2XGBMNZRCAIB0Kwfpjp8YEOfu-bneM/edit?usp=sharing"",""งานกองทุน!E63"")"),77)</f>
        <v>77</v>
      </c>
      <c r="K822" s="497">
        <f t="shared" ca="1" si="335"/>
        <v>42.076502732240435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70">
        <f ca="1">IFERROR(__xludf.DUMMYFUNCTION("IMPORTRANGE(""https://docs.google.com/spreadsheets/d/19vJNZY_5yjcGF2XGBMNZRCAIB0Kwfpjp8YEOfu-bneM/edit?usp=sharing"",""งานกองทุน!K63"")"),646244.94)</f>
        <v>646244.93999999994</v>
      </c>
      <c r="K823" s="497">
        <f t="shared" ca="1" si="335"/>
        <v>10.233887970010958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IFERROR(__xludf.DUMMYFUNCTION("IMPORTRANGE(""https://docs.google.com/spreadsheets/d/19vJNZY_5yjcGF2XGBMNZRCAIB0Kwfpjp8YEOfu-bneM/edit?usp=sharing"",""งานกองทุน!H63"")"),147)</f>
        <v>147</v>
      </c>
      <c r="J824" s="270">
        <f ca="1">IFERROR(__xludf.DUMMYFUNCTION("IMPORTRANGE(""https://docs.google.com/spreadsheets/d/19vJNZY_5yjcGF2XGBMNZRCAIB0Kwfpjp8YEOfu-bneM/edit?usp=sharing"",""งานกองทุน!J63"")"),100)</f>
        <v>100</v>
      </c>
      <c r="K824" s="497">
        <f t="shared" ca="1" si="335"/>
        <v>68.027210884353735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70">
        <f ca="1">IFERROR(__xludf.DUMMYFUNCTION("IMPORTRANGE(""https://docs.google.com/spreadsheets/d/19vJNZY_5yjcGF2XGBMNZRCAIB0Kwfpjp8YEOfu-bneM/edit?usp=sharing"",""งานกองทุน!P63"")"),369236.54)</f>
        <v>369236.54</v>
      </c>
      <c r="K825" s="497">
        <f t="shared" ca="1" si="335"/>
        <v>53.224867022353877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IFERROR(__xludf.DUMMYFUNCTION("IMPORTRANGE(""https://docs.google.com/spreadsheets/d/19vJNZY_5yjcGF2XGBMNZRCAIB0Kwfpjp8YEOfu-bneM/edit?usp=sharing"",""งานกองทุน!M63"")"),445)</f>
        <v>445</v>
      </c>
      <c r="J826" s="270">
        <f ca="1">IFERROR(__xludf.DUMMYFUNCTION("IMPORTRANGE(""https://docs.google.com/spreadsheets/d/19vJNZY_5yjcGF2XGBMNZRCAIB0Kwfpjp8YEOfu-bneM/edit?usp=sharing"",""งานกองทุน!O63"")"),426)</f>
        <v>426</v>
      </c>
      <c r="K826" s="497">
        <f t="shared" ca="1" si="335"/>
        <v>95.730337078651687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IFERROR(__xludf.DUMMYFUNCTION("IMPORTRANGE(""https://docs.google.com/spreadsheets/d/19vJNZY_5yjcGF2XGBMNZRCAIB0Kwfpjp8YEOfu-bneM/edit?usp=sharing"",""งานกองทุน!S63"")"),4980000)</f>
        <v>4980000</v>
      </c>
      <c r="J827" s="270">
        <f ca="1">IFERROR(__xludf.DUMMYFUNCTION("IMPORTRANGE(""https://docs.google.com/spreadsheets/d/19vJNZY_5yjcGF2XGBMNZRCAIB0Kwfpjp8YEOfu-bneM/edit?usp=sharing"",""งานกองทุน!U63"")"),2370000)</f>
        <v>2370000</v>
      </c>
      <c r="K827" s="497">
        <f t="shared" ca="1" si="335"/>
        <v>47.590361445783131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IFERROR(__xludf.DUMMYFUNCTION("IMPORTRANGE(""https://docs.google.com/spreadsheets/d/19vJNZY_5yjcGF2XGBMNZRCAIB0Kwfpjp8YEOfu-bneM/edit?usp=sharing"",""งานกองทุน!R63"")"),199)</f>
        <v>199</v>
      </c>
      <c r="J828" s="501">
        <f ca="1">IFERROR(__xludf.DUMMYFUNCTION("IMPORTRANGE(""https://docs.google.com/spreadsheets/d/19vJNZY_5yjcGF2XGBMNZRCAIB0Kwfpjp8YEOfu-bneM/edit?usp=sharing"",""งานกองทุน!T63"")"),48)</f>
        <v>48</v>
      </c>
      <c r="K828" s="502">
        <f t="shared" ca="1" si="335"/>
        <v>24.120603015075378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476F-4232-4EA7-8A12-31A5A10E05A1}">
  <sheetPr codeName="Sheet13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3324620</v>
      </c>
      <c r="M8" s="22">
        <f t="shared" ca="1" si="0"/>
        <v>3574751.74</v>
      </c>
      <c r="N8" s="22">
        <f t="shared" ca="1" si="0"/>
        <v>2622763.06</v>
      </c>
      <c r="O8" s="22">
        <f t="shared" ref="O8:O16" ca="1" si="1">IF(L8&gt;0,N8*100/L8,0)</f>
        <v>78.889107928124119</v>
      </c>
      <c r="P8" s="22">
        <f t="shared" ref="P8:P16" ca="1" si="2">IF(M8&gt;0,N8*100/M8,0)</f>
        <v>73.369096674668654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3324620</v>
      </c>
      <c r="M10" s="30">
        <f t="shared" ca="1" si="3"/>
        <v>3574751.74</v>
      </c>
      <c r="N10" s="30">
        <f t="shared" ca="1" si="3"/>
        <v>2622763.06</v>
      </c>
      <c r="O10" s="30">
        <f t="shared" ca="1" si="1"/>
        <v>78.889107928124119</v>
      </c>
      <c r="P10" s="30">
        <f t="shared" ca="1" si="2"/>
        <v>73.369096674668654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3248620</v>
      </c>
      <c r="M11" s="497">
        <f t="shared" ca="1" si="4"/>
        <v>3498751.74</v>
      </c>
      <c r="N11" s="497">
        <f t="shared" ca="1" si="4"/>
        <v>2546763.06</v>
      </c>
      <c r="O11" s="497">
        <f t="shared" ca="1" si="1"/>
        <v>78.395228127635733</v>
      </c>
      <c r="P11" s="497">
        <f t="shared" ca="1" si="2"/>
        <v>72.790619319563376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3248620</v>
      </c>
      <c r="M13" s="93">
        <f t="shared" ca="1" si="5"/>
        <v>3498751.74</v>
      </c>
      <c r="N13" s="93">
        <f t="shared" ca="1" si="5"/>
        <v>2546763.06</v>
      </c>
      <c r="O13" s="93">
        <f t="shared" ca="1" si="1"/>
        <v>78.395228127635733</v>
      </c>
      <c r="P13" s="93">
        <f t="shared" ca="1" si="2"/>
        <v>72.790619319563376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76000</v>
      </c>
      <c r="M14" s="497">
        <f t="shared" ca="1" si="6"/>
        <v>76000</v>
      </c>
      <c r="N14" s="497">
        <f t="shared" ca="1" si="6"/>
        <v>76000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2837820</v>
      </c>
      <c r="M18" s="22">
        <f t="shared" ca="1" si="8"/>
        <v>3087951.74</v>
      </c>
      <c r="N18" s="22">
        <f t="shared" ca="1" si="8"/>
        <v>2260854.63</v>
      </c>
      <c r="O18" s="22">
        <f t="shared" ref="O18:O26" ca="1" si="9">IF(L18&gt;0,N18*100/L18,0)</f>
        <v>79.668711546186856</v>
      </c>
      <c r="P18" s="22">
        <f t="shared" ref="P18:P26" ca="1" si="10">IF(M18&gt;0,N18*100/M18,0)</f>
        <v>73.215348566295916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2837820</v>
      </c>
      <c r="M20" s="30">
        <f t="shared" ca="1" si="11"/>
        <v>3087951.74</v>
      </c>
      <c r="N20" s="30">
        <f t="shared" ca="1" si="11"/>
        <v>2260854.63</v>
      </c>
      <c r="O20" s="30">
        <f t="shared" ca="1" si="9"/>
        <v>79.668711546186856</v>
      </c>
      <c r="P20" s="30">
        <f t="shared" ca="1" si="10"/>
        <v>73.215348566295916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2761820</v>
      </c>
      <c r="M21" s="497">
        <f t="shared" ca="1" si="12"/>
        <v>3011951.74</v>
      </c>
      <c r="N21" s="497">
        <f t="shared" ca="1" si="12"/>
        <v>2184854.63</v>
      </c>
      <c r="O21" s="497">
        <f t="shared" ca="1" si="9"/>
        <v>79.109233404059637</v>
      </c>
      <c r="P21" s="497">
        <f t="shared" ca="1" si="10"/>
        <v>72.539496598972732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2761820</v>
      </c>
      <c r="M23" s="93">
        <f t="shared" ca="1" si="13"/>
        <v>3011951.74</v>
      </c>
      <c r="N23" s="93">
        <f t="shared" ca="1" si="13"/>
        <v>2184854.63</v>
      </c>
      <c r="O23" s="93">
        <f t="shared" ca="1" si="9"/>
        <v>79.109233404059637</v>
      </c>
      <c r="P23" s="93">
        <f t="shared" ca="1" si="10"/>
        <v>72.539496598972732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76000</v>
      </c>
      <c r="M24" s="497">
        <f t="shared" ca="1" si="14"/>
        <v>76000</v>
      </c>
      <c r="N24" s="497">
        <f t="shared" ca="1" si="14"/>
        <v>76000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486800</v>
      </c>
      <c r="M28" s="22">
        <f t="shared" ca="1" si="16"/>
        <v>486800</v>
      </c>
      <c r="N28" s="22">
        <f t="shared" si="16"/>
        <v>361908.43</v>
      </c>
      <c r="O28" s="22">
        <f t="shared" ref="O28:O37" ca="1" si="17">IF(L28&gt;0,N28*100/L28,0)</f>
        <v>74.34437756778965</v>
      </c>
      <c r="P28" s="22">
        <f t="shared" ref="P28:P37" ca="1" si="18">IF(M28&gt;0,N28*100/M28,0)</f>
        <v>74.34437756778965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486800</v>
      </c>
      <c r="M30" s="30">
        <f t="shared" ca="1" si="19"/>
        <v>486800</v>
      </c>
      <c r="N30" s="30">
        <f t="shared" si="19"/>
        <v>361908.43</v>
      </c>
      <c r="O30" s="30">
        <f t="shared" ca="1" si="17"/>
        <v>74.34437756778965</v>
      </c>
      <c r="P30" s="30">
        <f t="shared" ca="1" si="18"/>
        <v>74.34437756778965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486800</v>
      </c>
      <c r="M31" s="497">
        <f t="shared" ca="1" si="20"/>
        <v>486800</v>
      </c>
      <c r="N31" s="497">
        <f t="shared" si="20"/>
        <v>361908.43</v>
      </c>
      <c r="O31" s="497">
        <f t="shared" ca="1" si="17"/>
        <v>74.34437756778965</v>
      </c>
      <c r="P31" s="497">
        <f t="shared" ca="1" si="18"/>
        <v>74.34437756778965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486800</v>
      </c>
      <c r="M33" s="93">
        <f t="shared" ca="1" si="21"/>
        <v>486800</v>
      </c>
      <c r="N33" s="93">
        <f t="shared" si="21"/>
        <v>361908.43</v>
      </c>
      <c r="O33" s="93">
        <f t="shared" ca="1" si="17"/>
        <v>74.34437756778965</v>
      </c>
      <c r="P33" s="93">
        <f t="shared" ca="1" si="18"/>
        <v>74.34437756778965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2837820</v>
      </c>
      <c r="M37" s="59">
        <f t="shared" ca="1" si="24"/>
        <v>3087951.74</v>
      </c>
      <c r="N37" s="59">
        <f t="shared" ca="1" si="24"/>
        <v>2260854.63</v>
      </c>
      <c r="O37" s="59">
        <f t="shared" ca="1" si="17"/>
        <v>79.668711546186856</v>
      </c>
      <c r="P37" s="59">
        <f t="shared" ca="1" si="18"/>
        <v>73.215348566295916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312700</v>
      </c>
      <c r="M41" s="85">
        <f t="shared" ca="1" si="25"/>
        <v>491151.74</v>
      </c>
      <c r="N41" s="85">
        <f t="shared" ca="1" si="25"/>
        <v>322151.74</v>
      </c>
      <c r="O41" s="85">
        <f t="shared" ref="O41:O49" ca="1" si="26">IF(L41&gt;0,N41*100/L41,0)</f>
        <v>103.02262232171411</v>
      </c>
      <c r="P41" s="85">
        <f t="shared" ref="P41:P49" ca="1" si="27">IF(M41&gt;0,N41*100/M41,0)</f>
        <v>65.591081892532841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312700</v>
      </c>
      <c r="M43" s="92">
        <f t="shared" ca="1" si="28"/>
        <v>491151.74</v>
      </c>
      <c r="N43" s="92">
        <f t="shared" ca="1" si="28"/>
        <v>322151.74</v>
      </c>
      <c r="O43" s="92">
        <f t="shared" ca="1" si="26"/>
        <v>103.02262232171411</v>
      </c>
      <c r="P43" s="92">
        <f t="shared" ca="1" si="27"/>
        <v>65.591081892532841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312700</v>
      </c>
      <c r="M44" s="497">
        <f t="shared" ca="1" si="29"/>
        <v>491151.74</v>
      </c>
      <c r="N44" s="497">
        <f t="shared" ca="1" si="29"/>
        <v>322151.74</v>
      </c>
      <c r="O44" s="497">
        <f t="shared" ca="1" si="26"/>
        <v>103.02262232171411</v>
      </c>
      <c r="P44" s="497">
        <f t="shared" ca="1" si="27"/>
        <v>65.591081892532841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IFERROR(__xludf.DUMMYFUNCTION("IMPORTRANGE(""https://docs.google.com/spreadsheets/d/1MeEWN-I1oV_STSDYn1IFDPWt_1FKiwhDph83XaGc0o0/edit?usp=sharing"",""งบพรบ!M64"")"),312700)</f>
        <v>312700</v>
      </c>
      <c r="M46" s="93">
        <f ca="1">IFERROR(__xludf.DUMMYFUNCTION("IMPORTRANGE(""https://docs.google.com/spreadsheets/d/1MeEWN-I1oV_STSDYn1IFDPWt_1FKiwhDph83XaGc0o0/edit?usp=sharing"",""งบพรบ!R64"")"),491151.74)</f>
        <v>491151.74</v>
      </c>
      <c r="N46" s="93">
        <f ca="1">IFERROR(__xludf.DUMMYFUNCTION("IMPORTRANGE(""https://docs.google.com/spreadsheets/d/1MeEWN-I1oV_STSDYn1IFDPWt_1FKiwhDph83XaGc0o0/edit?usp=sharing"",""งบพรบ!T64"")"),322151.74)</f>
        <v>322151.74</v>
      </c>
      <c r="O46" s="93">
        <f t="shared" ca="1" si="26"/>
        <v>103.02262232171411</v>
      </c>
      <c r="P46" s="93">
        <f t="shared" ca="1" si="27"/>
        <v>65.591081892532841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IFERROR(__xludf.DUMMYFUNCTION("IMPORTRANGE(""https://docs.google.com/spreadsheets/d/1MeEWN-I1oV_STSDYn1IFDPWt_1FKiwhDph83XaGc0o0/edit?usp=sharing"",""งบพรบ!P64"")"),0)</f>
        <v>0</v>
      </c>
      <c r="M49" s="52">
        <f ca="1">IFERROR(__xludf.DUMMYFUNCTION("IMPORTRANGE(""https://docs.google.com/spreadsheets/d/1MeEWN-I1oV_STSDYn1IFDPWt_1FKiwhDph83XaGc0o0/edit?usp=sharing"",""งบพรบ!S64"")"),0)</f>
        <v>0</v>
      </c>
      <c r="N49" s="52">
        <f ca="1">IFERROR(__xludf.DUMMYFUNCTION("IMPORTRANGE(""https://docs.google.com/spreadsheets/d/1MeEWN-I1oV_STSDYn1IFDPWt_1FKiwhDph83XaGc0o0/edit?usp=sharing"",""งบพรบ!U64"")"),0)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356900</v>
      </c>
      <c r="M53" s="116">
        <f t="shared" ca="1" si="31"/>
        <v>364150</v>
      </c>
      <c r="N53" s="116">
        <f t="shared" ca="1" si="31"/>
        <v>291176.37</v>
      </c>
      <c r="O53" s="116">
        <f t="shared" ref="O53:O61" ca="1" si="32">IF(L53&gt;0,N53*100/L53,0)</f>
        <v>81.584861305687866</v>
      </c>
      <c r="P53" s="116">
        <f t="shared" ref="P53:P61" ca="1" si="33">IF(M53&gt;0,N53*100/M53,0)</f>
        <v>79.960557462584106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356900</v>
      </c>
      <c r="M55" s="123">
        <f t="shared" ca="1" si="34"/>
        <v>364150</v>
      </c>
      <c r="N55" s="123">
        <f t="shared" ca="1" si="34"/>
        <v>291176.37</v>
      </c>
      <c r="O55" s="123">
        <f t="shared" ca="1" si="32"/>
        <v>81.584861305687866</v>
      </c>
      <c r="P55" s="123">
        <f t="shared" ca="1" si="33"/>
        <v>79.960557462584106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356900</v>
      </c>
      <c r="M56" s="497">
        <f t="shared" ca="1" si="35"/>
        <v>364150</v>
      </c>
      <c r="N56" s="497">
        <f t="shared" ca="1" si="35"/>
        <v>291176.37</v>
      </c>
      <c r="O56" s="497">
        <f t="shared" ca="1" si="32"/>
        <v>81.584861305687866</v>
      </c>
      <c r="P56" s="497">
        <f t="shared" ca="1" si="33"/>
        <v>79.960557462584106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IFERROR(__xludf.DUMMYFUNCTION("IMPORTRANGE(""https://docs.google.com/spreadsheets/d/1MeEWN-I1oV_STSDYn1IFDPWt_1FKiwhDph83XaGc0o0/edit?usp=sharing"",""งบพรบ!W64"")"),356900)</f>
        <v>356900</v>
      </c>
      <c r="M58" s="93">
        <f ca="1">IFERROR(__xludf.DUMMYFUNCTION("IMPORTRANGE(""https://docs.google.com/spreadsheets/d/1MeEWN-I1oV_STSDYn1IFDPWt_1FKiwhDph83XaGc0o0/edit?usp=sharing"",""งบพรบ!AB64"")"),364150)</f>
        <v>364150</v>
      </c>
      <c r="N58" s="93">
        <f ca="1">IFERROR(__xludf.DUMMYFUNCTION("IMPORTRANGE(""https://docs.google.com/spreadsheets/d/1MeEWN-I1oV_STSDYn1IFDPWt_1FKiwhDph83XaGc0o0/edit?usp=sharing"",""งบพรบ!AD64"")"),291176.37)</f>
        <v>291176.37</v>
      </c>
      <c r="O58" s="93">
        <f t="shared" ca="1" si="32"/>
        <v>81.584861305687866</v>
      </c>
      <c r="P58" s="93">
        <f t="shared" ca="1" si="33"/>
        <v>79.960557462584106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IFERROR(__xludf.DUMMYFUNCTION("IMPORTRANGE(""https://docs.google.com/spreadsheets/d/1MeEWN-I1oV_STSDYn1IFDPWt_1FKiwhDph83XaGc0o0/edit?usp=sharing"",""งบพรบ!Z64"")"),0)</f>
        <v>0</v>
      </c>
      <c r="M61" s="52">
        <f ca="1">IFERROR(__xludf.DUMMYFUNCTION("IMPORTRANGE(""https://docs.google.com/spreadsheets/d/1MeEWN-I1oV_STSDYn1IFDPWt_1FKiwhDph83XaGc0o0/edit?usp=sharing"",""งบพรบ!AC64"")"),0)</f>
        <v>0</v>
      </c>
      <c r="N61" s="52">
        <f ca="1">IFERROR(__xludf.DUMMYFUNCTION("IMPORTRANGE(""https://docs.google.com/spreadsheets/d/1MeEWN-I1oV_STSDYn1IFDPWt_1FKiwhDph83XaGc0o0/edit?usp=sharing"",""งบพรบ!AE64"")"),0)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42</v>
      </c>
      <c r="J65" s="144">
        <f t="shared" si="37"/>
        <v>42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609800</v>
      </c>
      <c r="M66" s="155">
        <f t="shared" ca="1" si="39"/>
        <v>622800</v>
      </c>
      <c r="N66" s="155">
        <f t="shared" ca="1" si="39"/>
        <v>432779.5</v>
      </c>
      <c r="O66" s="155">
        <f t="shared" ref="O66:O74" ca="1" si="40">IF(L66&gt;0,N66*100/L66,0)</f>
        <v>70.970728107576249</v>
      </c>
      <c r="P66" s="155">
        <f t="shared" ref="P66:P74" ca="1" si="41">IF(M66&gt;0,N66*100/M66,0)</f>
        <v>69.489322414900442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609800</v>
      </c>
      <c r="M68" s="93">
        <f t="shared" ca="1" si="42"/>
        <v>622800</v>
      </c>
      <c r="N68" s="93">
        <f t="shared" ca="1" si="42"/>
        <v>432779.5</v>
      </c>
      <c r="O68" s="93">
        <f t="shared" ca="1" si="40"/>
        <v>70.970728107576249</v>
      </c>
      <c r="P68" s="93">
        <f t="shared" ca="1" si="41"/>
        <v>69.489322414900442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609800</v>
      </c>
      <c r="M69" s="497">
        <f t="shared" ca="1" si="43"/>
        <v>622800</v>
      </c>
      <c r="N69" s="497">
        <f t="shared" ca="1" si="43"/>
        <v>432779.5</v>
      </c>
      <c r="O69" s="497">
        <f t="shared" ca="1" si="40"/>
        <v>70.970728107576249</v>
      </c>
      <c r="P69" s="497">
        <f t="shared" ca="1" si="41"/>
        <v>69.489322414900442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IFERROR(__xludf.DUMMYFUNCTION("IMPORTRANGE(""https://docs.google.com/spreadsheets/d/1MeEWN-I1oV_STSDYn1IFDPWt_1FKiwhDph83XaGc0o0/edit?usp=sharing"",""งบพรบ!AG64"")"),609800)</f>
        <v>609800</v>
      </c>
      <c r="M71" s="93">
        <f ca="1">IFERROR(__xludf.DUMMYFUNCTION("IMPORTRANGE(""https://docs.google.com/spreadsheets/d/1MeEWN-I1oV_STSDYn1IFDPWt_1FKiwhDph83XaGc0o0/edit?usp=sharing"",""งบพรบ!AL64"")"),622800)</f>
        <v>622800</v>
      </c>
      <c r="N71" s="93">
        <f ca="1">IFERROR(__xludf.DUMMYFUNCTION("IMPORTRANGE(""https://docs.google.com/spreadsheets/d/1MeEWN-I1oV_STSDYn1IFDPWt_1FKiwhDph83XaGc0o0/edit?usp=sharing"",""งบพรบ!AN64"")"),432779.5)</f>
        <v>432779.5</v>
      </c>
      <c r="O71" s="93">
        <f t="shared" ca="1" si="40"/>
        <v>70.970728107576249</v>
      </c>
      <c r="P71" s="93">
        <f t="shared" ca="1" si="41"/>
        <v>69.489322414900442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IFERROR(__xludf.DUMMYFUNCTION("IMPORTRANGE(""https://docs.google.com/spreadsheets/d/1MeEWN-I1oV_STSDYn1IFDPWt_1FKiwhDph83XaGc0o0/edit?usp=sharing"",""งบพรบ!AJ64"")"),0)</f>
        <v>0</v>
      </c>
      <c r="M74" s="93">
        <f ca="1">IFERROR(__xludf.DUMMYFUNCTION("IMPORTRANGE(""https://docs.google.com/spreadsheets/d/1MeEWN-I1oV_STSDYn1IFDPWt_1FKiwhDph83XaGc0o0/edit?usp=sharing"",""งบพรบ!AM64"")"),0)</f>
        <v>0</v>
      </c>
      <c r="N74" s="93">
        <f ca="1">IFERROR(__xludf.DUMMYFUNCTION("IMPORTRANGE(""https://docs.google.com/spreadsheets/d/1MeEWN-I1oV_STSDYn1IFDPWt_1FKiwhDph83XaGc0o0/edit?usp=sharing"",""งบพรบ!AO64"")"),0)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42</v>
      </c>
      <c r="J77" s="270">
        <f t="shared" si="45"/>
        <v>42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IFERROR(__xludf.DUMMYFUNCTION("IMPORTRANGE(""https://docs.google.com/spreadsheets/d/1QqKyyYR6Q21VydFLVH3TRQUabQu_ym0Zz7PgGX0-kHA/edit?usp=sharing"",""แผน!H64"")"),1)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IFERROR(__xludf.DUMMYFUNCTION("IMPORTRANGE(""https://docs.google.com/spreadsheets/d/1QqKyyYR6Q21VydFLVH3TRQUabQu_ym0Zz7PgGX0-kHA/edit?usp=sharing"",""แผน!I64"")"),42)</f>
        <v>42</v>
      </c>
      <c r="J79" s="215">
        <v>42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31200</v>
      </c>
      <c r="N88" s="155">
        <f t="shared" ca="1" si="49"/>
        <v>27750</v>
      </c>
      <c r="O88" s="155">
        <f t="shared" ref="O88:O96" ca="1" si="50">IF(L88&gt;0,N88*100/L88,0)</f>
        <v>88.942307692307693</v>
      </c>
      <c r="P88" s="155">
        <f t="shared" ref="P88:P96" ca="1" si="51">IF(M88&gt;0,N88*100/M88,0)</f>
        <v>88.942307692307693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31200</v>
      </c>
      <c r="N90" s="93">
        <f t="shared" ca="1" si="52"/>
        <v>27750</v>
      </c>
      <c r="O90" s="93">
        <f t="shared" ca="1" si="50"/>
        <v>88.942307692307693</v>
      </c>
      <c r="P90" s="93">
        <f t="shared" ca="1" si="51"/>
        <v>88.942307692307693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31200</v>
      </c>
      <c r="N91" s="497">
        <f t="shared" ca="1" si="53"/>
        <v>27750</v>
      </c>
      <c r="O91" s="497">
        <f t="shared" ca="1" si="50"/>
        <v>88.942307692307693</v>
      </c>
      <c r="P91" s="497">
        <f t="shared" ca="1" si="51"/>
        <v>88.942307692307693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IFERROR(__xludf.DUMMYFUNCTION("IMPORTRANGE(""https://docs.google.com/spreadsheets/d/1MeEWN-I1oV_STSDYn1IFDPWt_1FKiwhDph83XaGc0o0/edit?usp=sharing"",""งบพรบ!AQ64"")"),31200)</f>
        <v>31200</v>
      </c>
      <c r="M93" s="93">
        <f ca="1">IFERROR(__xludf.DUMMYFUNCTION("IMPORTRANGE(""https://docs.google.com/spreadsheets/d/1MeEWN-I1oV_STSDYn1IFDPWt_1FKiwhDph83XaGc0o0/edit?usp=sharing"",""งบพรบ!AV64"")"),31200)</f>
        <v>31200</v>
      </c>
      <c r="N93" s="93">
        <f ca="1">IFERROR(__xludf.DUMMYFUNCTION("IMPORTRANGE(""https://docs.google.com/spreadsheets/d/1MeEWN-I1oV_STSDYn1IFDPWt_1FKiwhDph83XaGc0o0/edit?usp=sharing"",""งบพรบ!AX64"")"),27750)</f>
        <v>27750</v>
      </c>
      <c r="O93" s="93">
        <f t="shared" ca="1" si="50"/>
        <v>88.942307692307693</v>
      </c>
      <c r="P93" s="93">
        <f t="shared" ca="1" si="51"/>
        <v>88.942307692307693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IFERROR(__xludf.DUMMYFUNCTION("IMPORTRANGE(""https://docs.google.com/spreadsheets/d/1MeEWN-I1oV_STSDYn1IFDPWt_1FKiwhDph83XaGc0o0/edit?usp=sharing"",""งบพรบ!AT64"")"),0)</f>
        <v>0</v>
      </c>
      <c r="M96" s="93">
        <f ca="1">IFERROR(__xludf.DUMMYFUNCTION("IMPORTRANGE(""https://docs.google.com/spreadsheets/d/1MeEWN-I1oV_STSDYn1IFDPWt_1FKiwhDph83XaGc0o0/edit?usp=sharing"",""งบพรบ!AW64"")"),0)</f>
        <v>0</v>
      </c>
      <c r="N96" s="93">
        <f ca="1">IFERROR(__xludf.DUMMYFUNCTION("IMPORTRANGE(""https://docs.google.com/spreadsheets/d/1MeEWN-I1oV_STSDYn1IFDPWt_1FKiwhDph83XaGc0o0/edit?usp=sharing"",""งบพรบ!AY64"")"),0)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IFERROR(__xludf.DUMMYFUNCTION("IMPORTRANGE(""https://docs.google.com/spreadsheets/d/1QqKyyYR6Q21VydFLVH3TRQUabQu_ym0Zz7PgGX0-kHA/edit?usp=sharing"",""แผน!Q64"")"),1)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IFERROR(__xludf.DUMMYFUNCTION("IMPORTRANGE(""https://docs.google.com/spreadsheets/d/1QqKyyYR6Q21VydFLVH3TRQUabQu_ym0Zz7PgGX0-kHA/edit?usp=sharing"",""แผน!R64"")"),0)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IFERROR(__xludf.DUMMYFUNCTION("IMPORTRANGE(""https://docs.google.com/spreadsheets/d/1MeEWN-I1oV_STSDYn1IFDPWt_1FKiwhDph83XaGc0o0/edit?usp=sharing"",""งบพรบ!BA64"")"),0)</f>
        <v>0</v>
      </c>
      <c r="M124" s="93">
        <f ca="1">IFERROR(__xludf.DUMMYFUNCTION("IMPORTRANGE(""https://docs.google.com/spreadsheets/d/1MeEWN-I1oV_STSDYn1IFDPWt_1FKiwhDph83XaGc0o0/edit?usp=sharing"",""งบพรบ!BF64"")"),0)</f>
        <v>0</v>
      </c>
      <c r="N124" s="93">
        <f ca="1">IFERROR(__xludf.DUMMYFUNCTION("IMPORTRANGE(""https://docs.google.com/spreadsheets/d/1MeEWN-I1oV_STSDYn1IFDPWt_1FKiwhDph83XaGc0o0/edit?usp=sharing"",""งบพรบ!BH64"")"),0)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IFERROR(__xludf.DUMMYFUNCTION("IMPORTRANGE(""https://docs.google.com/spreadsheets/d/1MeEWN-I1oV_STSDYn1IFDPWt_1FKiwhDph83XaGc0o0/edit?usp=sharing"",""งบพรบ!BD64"")"),0)</f>
        <v>0</v>
      </c>
      <c r="M127" s="93">
        <f ca="1">IFERROR(__xludf.DUMMYFUNCTION("IMPORTRANGE(""https://docs.google.com/spreadsheets/d/1MeEWN-I1oV_STSDYn1IFDPWt_1FKiwhDph83XaGc0o0/edit?usp=sharing"",""งบพรบ!BG64"")"),0)</f>
        <v>0</v>
      </c>
      <c r="N127" s="93">
        <f ca="1">IFERROR(__xludf.DUMMYFUNCTION("IMPORTRANGE(""https://docs.google.com/spreadsheets/d/1MeEWN-I1oV_STSDYn1IFDPWt_1FKiwhDph83XaGc0o0/edit?usp=sharing"",""งบพรบ!BI64"")"),0)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IFERROR(__xludf.DUMMYFUNCTION("IMPORTRANGE(""https://docs.google.com/spreadsheets/d/1MeEWN-I1oV_STSDYn1IFDPWt_1FKiwhDph83XaGc0o0/edit?usp=sharing"",""งบพรบ!BK64"")"),0)</f>
        <v>0</v>
      </c>
      <c r="M137" s="93">
        <f ca="1">IFERROR(__xludf.DUMMYFUNCTION("IMPORTRANGE(""https://docs.google.com/spreadsheets/d/1MeEWN-I1oV_STSDYn1IFDPWt_1FKiwhDph83XaGc0o0/edit?usp=sharing"",""งบพรบ!BP64"")"),0)</f>
        <v>0</v>
      </c>
      <c r="N137" s="93">
        <f ca="1">IFERROR(__xludf.DUMMYFUNCTION("IMPORTRANGE(""https://docs.google.com/spreadsheets/d/1MeEWN-I1oV_STSDYn1IFDPWt_1FKiwhDph83XaGc0o0/edit?usp=sharing"",""งบพรบ!BR64"")"),0)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IFERROR(__xludf.DUMMYFUNCTION("IMPORTRANGE(""https://docs.google.com/spreadsheets/d/1MeEWN-I1oV_STSDYn1IFDPWt_1FKiwhDph83XaGc0o0/edit?usp=sharing"",""งบพรบ!BN64"")"),0)</f>
        <v>0</v>
      </c>
      <c r="M140" s="93">
        <f ca="1">IFERROR(__xludf.DUMMYFUNCTION("IMPORTRANGE(""https://docs.google.com/spreadsheets/d/1MeEWN-I1oV_STSDYn1IFDPWt_1FKiwhDph83XaGc0o0/edit?usp=sharing"",""งบพรบ!BQ64"")"),0)</f>
        <v>0</v>
      </c>
      <c r="N140" s="93">
        <f ca="1">IFERROR(__xludf.DUMMYFUNCTION("IMPORTRANGE(""https://docs.google.com/spreadsheets/d/1MeEWN-I1oV_STSDYn1IFDPWt_1FKiwhDph83XaGc0o0/edit?usp=sharing"",""งบพรบ!BS64"")"),0)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11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14910</v>
      </c>
      <c r="N149" s="155">
        <f t="shared" ca="1" si="77"/>
        <v>14910</v>
      </c>
      <c r="O149" s="155">
        <f t="shared" ref="O149:O157" ca="1" si="78">IF(L149&gt;0,N149*100/L149,0)</f>
        <v>298.2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14910</v>
      </c>
      <c r="N151" s="93">
        <f t="shared" ca="1" si="80"/>
        <v>14910</v>
      </c>
      <c r="O151" s="93">
        <f t="shared" ca="1" si="78"/>
        <v>298.2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14910</v>
      </c>
      <c r="N152" s="497">
        <f t="shared" ca="1" si="81"/>
        <v>14910</v>
      </c>
      <c r="O152" s="497">
        <f t="shared" ca="1" si="78"/>
        <v>298.2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IFERROR(__xludf.DUMMYFUNCTION("IMPORTRANGE(""https://docs.google.com/spreadsheets/d/1MeEWN-I1oV_STSDYn1IFDPWt_1FKiwhDph83XaGc0o0/edit?usp=sharing"",""งบพรบ!BU64"")"),5000)</f>
        <v>5000</v>
      </c>
      <c r="M154" s="93">
        <f ca="1">IFERROR(__xludf.DUMMYFUNCTION("IMPORTRANGE(""https://docs.google.com/spreadsheets/d/1MeEWN-I1oV_STSDYn1IFDPWt_1FKiwhDph83XaGc0o0/edit?usp=sharing"",""งบพรบ!BZ64"")"),14910)</f>
        <v>14910</v>
      </c>
      <c r="N154" s="93">
        <f ca="1">IFERROR(__xludf.DUMMYFUNCTION("IMPORTRANGE(""https://docs.google.com/spreadsheets/d/1MeEWN-I1oV_STSDYn1IFDPWt_1FKiwhDph83XaGc0o0/edit?usp=sharing"",""งบพรบ!CB64"")"),14910)</f>
        <v>14910</v>
      </c>
      <c r="O154" s="93">
        <f t="shared" ca="1" si="78"/>
        <v>298.2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IFERROR(__xludf.DUMMYFUNCTION("IMPORTRANGE(""https://docs.google.com/spreadsheets/d/1MeEWN-I1oV_STSDYn1IFDPWt_1FKiwhDph83XaGc0o0/edit?usp=sharing"",""งบพรบ!BX64"")"),0)</f>
        <v>0</v>
      </c>
      <c r="M157" s="93">
        <f ca="1">IFERROR(__xludf.DUMMYFUNCTION("IMPORTRANGE(""https://docs.google.com/spreadsheets/d/1MeEWN-I1oV_STSDYn1IFDPWt_1FKiwhDph83XaGc0o0/edit?usp=sharing"",""งบพรบ!CA64"")"),0)</f>
        <v>0</v>
      </c>
      <c r="N157" s="93">
        <f ca="1">IFERROR(__xludf.DUMMYFUNCTION("IMPORTRANGE(""https://docs.google.com/spreadsheets/d/1MeEWN-I1oV_STSDYn1IFDPWt_1FKiwhDph83XaGc0o0/edit?usp=sharing"",""งบพรบ!CC64"")"),0)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IFERROR(__xludf.DUMMYFUNCTION("IMPORTRANGE(""https://docs.google.com/spreadsheets/d/1QqKyyYR6Q21VydFLVH3TRQUabQu_ym0Zz7PgGX0-kHA/edit?usp=sharing"",""แผน!X64"")"),10)</f>
        <v>10</v>
      </c>
      <c r="J159" s="215">
        <v>11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IFERROR(__xludf.DUMMYFUNCTION("IMPORTRANGE(""https://docs.google.com/spreadsheets/d/1MeEWN-I1oV_STSDYn1IFDPWt_1FKiwhDph83XaGc0o0/edit?usp=sharing"",""งบพรบ!CE64"")"),23060)</f>
        <v>23060</v>
      </c>
      <c r="M170" s="93">
        <f ca="1">IFERROR(__xludf.DUMMYFUNCTION("IMPORTRANGE(""https://docs.google.com/spreadsheets/d/1MeEWN-I1oV_STSDYn1IFDPWt_1FKiwhDph83XaGc0o0/edit?usp=sharing"",""งบพรบ!CJ64"")"),23060)</f>
        <v>23060</v>
      </c>
      <c r="N170" s="93">
        <f ca="1">IFERROR(__xludf.DUMMYFUNCTION("IMPORTRANGE(""https://docs.google.com/spreadsheets/d/1MeEWN-I1oV_STSDYn1IFDPWt_1FKiwhDph83XaGc0o0/edit?usp=sharing"",""งบพรบ!CL64"")"),23060)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IFERROR(__xludf.DUMMYFUNCTION("IMPORTRANGE(""https://docs.google.com/spreadsheets/d/1MeEWN-I1oV_STSDYn1IFDPWt_1FKiwhDph83XaGc0o0/edit?usp=sharing"",""งบพรบ!CH64"")"),0)</f>
        <v>0</v>
      </c>
      <c r="M173" s="93">
        <f ca="1">IFERROR(__xludf.DUMMYFUNCTION("IMPORTRANGE(""https://docs.google.com/spreadsheets/d/1MeEWN-I1oV_STSDYn1IFDPWt_1FKiwhDph83XaGc0o0/edit?usp=sharing"",""งบพรบ!CK64"")"),0)</f>
        <v>0</v>
      </c>
      <c r="N173" s="93">
        <f ca="1">IFERROR(__xludf.DUMMYFUNCTION("IMPORTRANGE(""https://docs.google.com/spreadsheets/d/1MeEWN-I1oV_STSDYn1IFDPWt_1FKiwhDph83XaGc0o0/edit?usp=sharing"",""งบพรบ!CM64"")"),0)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35</v>
      </c>
      <c r="J180" s="253">
        <f t="shared" si="91"/>
        <v>35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527750</v>
      </c>
      <c r="M181" s="155">
        <f t="shared" ca="1" si="92"/>
        <v>559770</v>
      </c>
      <c r="N181" s="155">
        <f t="shared" ca="1" si="92"/>
        <v>450482.45</v>
      </c>
      <c r="O181" s="155">
        <f t="shared" ref="O181:O189" ca="1" si="93">IF(L181&gt;0,N181*100/L181,0)</f>
        <v>85.359062055897681</v>
      </c>
      <c r="P181" s="155">
        <f t="shared" ref="P181:P189" ca="1" si="94">IF(M181&gt;0,N181*100/M181,0)</f>
        <v>80.47634742840809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527750</v>
      </c>
      <c r="M183" s="93">
        <f t="shared" ca="1" si="95"/>
        <v>559770</v>
      </c>
      <c r="N183" s="93">
        <f t="shared" ca="1" si="95"/>
        <v>450482.45</v>
      </c>
      <c r="O183" s="93">
        <f t="shared" ca="1" si="93"/>
        <v>85.359062055897681</v>
      </c>
      <c r="P183" s="93">
        <f t="shared" ca="1" si="94"/>
        <v>80.47634742840809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527750</v>
      </c>
      <c r="M184" s="497">
        <f t="shared" ca="1" si="96"/>
        <v>559770</v>
      </c>
      <c r="N184" s="497">
        <f t="shared" ca="1" si="96"/>
        <v>450482.45</v>
      </c>
      <c r="O184" s="497">
        <f t="shared" ca="1" si="93"/>
        <v>85.359062055897681</v>
      </c>
      <c r="P184" s="497">
        <f t="shared" ca="1" si="94"/>
        <v>80.47634742840809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IFERROR(__xludf.DUMMYFUNCTION("IMPORTRANGE(""https://docs.google.com/spreadsheets/d/1MeEWN-I1oV_STSDYn1IFDPWt_1FKiwhDph83XaGc0o0/edit?usp=sharing"",""งบพรบ!CO64"")"),527750)</f>
        <v>527750</v>
      </c>
      <c r="M186" s="93">
        <f ca="1">IFERROR(__xludf.DUMMYFUNCTION("IMPORTRANGE(""https://docs.google.com/spreadsheets/d/1MeEWN-I1oV_STSDYn1IFDPWt_1FKiwhDph83XaGc0o0/edit?usp=sharing"",""งบพรบ!CT64"")"),559770)</f>
        <v>559770</v>
      </c>
      <c r="N186" s="93">
        <f ca="1">IFERROR(__xludf.DUMMYFUNCTION("IMPORTRANGE(""https://docs.google.com/spreadsheets/d/1MeEWN-I1oV_STSDYn1IFDPWt_1FKiwhDph83XaGc0o0/edit?usp=sharing"",""งบพรบ!CV64"")"),450482.45)</f>
        <v>450482.45</v>
      </c>
      <c r="O186" s="93">
        <f t="shared" ca="1" si="93"/>
        <v>85.359062055897681</v>
      </c>
      <c r="P186" s="93">
        <f t="shared" ca="1" si="94"/>
        <v>80.47634742840809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IFERROR(__xludf.DUMMYFUNCTION("IMPORTRANGE(""https://docs.google.com/spreadsheets/d/1MeEWN-I1oV_STSDYn1IFDPWt_1FKiwhDph83XaGc0o0/edit?usp=sharing"",""งบพรบ!CR64"")"),0)</f>
        <v>0</v>
      </c>
      <c r="M189" s="93">
        <f ca="1">IFERROR(__xludf.DUMMYFUNCTION("IMPORTRANGE(""https://docs.google.com/spreadsheets/d/1MeEWN-I1oV_STSDYn1IFDPWt_1FKiwhDph83XaGc0o0/edit?usp=sharing"",""งบพรบ!CU64"")"),0)</f>
        <v>0</v>
      </c>
      <c r="N189" s="93">
        <f ca="1">IFERROR(__xludf.DUMMYFUNCTION("IMPORTRANGE(""https://docs.google.com/spreadsheets/d/1MeEWN-I1oV_STSDYn1IFDPWt_1FKiwhDph83XaGc0o0/edit?usp=sharing"",""งบพรบ!CW64"")"),0)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IFERROR(__xludf.DUMMYFUNCTION("IMPORTRANGE(""https://docs.google.com/spreadsheets/d/1QqKyyYR6Q21VydFLVH3TRQUabQu_ym0Zz7PgGX0-kHA/edit?usp=sharing"",""แผน!Z64"")"),6000)</f>
        <v>6000</v>
      </c>
      <c r="M191" s="155"/>
      <c r="N191" s="276">
        <v>4000</v>
      </c>
      <c r="O191" s="155">
        <f ca="1">IF(L191&gt;0,N191*100/L191,0)</f>
        <v>66.666666666666671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IFERROR(__xludf.DUMMYFUNCTION("IMPORTRANGE(""https://docs.google.com/spreadsheets/d/1QqKyyYR6Q21VydFLVH3TRQUabQu_ym0Zz7PgGX0-kHA/edit?usp=sharing"",""แผน!AE64"")"),0)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IFERROR(__xludf.DUMMYFUNCTION("IMPORTRANGE(""https://docs.google.com/spreadsheets/d/1QqKyyYR6Q21VydFLVH3TRQUabQu_ym0Zz7PgGX0-kHA/edit?usp=sharing"",""แผน!AF64"")"),0)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IFERROR(__xludf.DUMMYFUNCTION("IMPORTRANGE(""https://docs.google.com/spreadsheets/d/1QqKyyYR6Q21VydFLVH3TRQUabQu_ym0Zz7PgGX0-kHA/edit?usp=sharing"",""แผน!AG64"")"),0)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IFERROR(__xludf.DUMMYFUNCTION("IMPORTRANGE(""https://docs.google.com/spreadsheets/d/1QqKyyYR6Q21VydFLVH3TRQUabQu_ym0Zz7PgGX0-kHA/edit?usp=sharing"",""แผน!AI64"")"),0)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IFERROR(__xludf.DUMMYFUNCTION("IMPORTRANGE(""https://docs.google.com/spreadsheets/d/1QqKyyYR6Q21VydFLVH3TRQUabQu_ym0Zz7PgGX0-kHA/edit?usp=sharing"",""แผน!AK64"")"),0)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IFERROR(__xludf.DUMMYFUNCTION("IMPORTRANGE(""https://docs.google.com/spreadsheets/d/1QqKyyYR6Q21VydFLVH3TRQUabQu_ym0Zz7PgGX0-kHA/edit?usp=sharing"",""แผน!AL64"")"),0)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IFERROR(__xludf.DUMMYFUNCTION("IMPORTRANGE(""https://docs.google.com/spreadsheets/d/1QqKyyYR6Q21VydFLVH3TRQUabQu_ym0Zz7PgGX0-kHA/edit?usp=sharing"",""แผน!AM64"")"),0)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IFERROR(__xludf.DUMMYFUNCTION("IMPORTRANGE(""https://docs.google.com/spreadsheets/d/1QqKyyYR6Q21VydFLVH3TRQUabQu_ym0Zz7PgGX0-kHA/edit?usp=sharing"",""แผน!AN64"")"),0)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IFERROR(__xludf.DUMMYFUNCTION("IMPORTRANGE(""https://docs.google.com/spreadsheets/d/1QqKyyYR6Q21VydFLVH3TRQUabQu_ym0Zz7PgGX0-kHA/edit?usp=sharing"",""แผน!AN64"")"),0)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IFERROR(__xludf.DUMMYFUNCTION("IMPORTRANGE(""https://docs.google.com/spreadsheets/d/1QqKyyYR6Q21VydFLVH3TRQUabQu_ym0Zz7PgGX0-kHA/edit?usp=sharing"",""แผน!AQ64"")"),5000)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IFERROR(__xludf.DUMMYFUNCTION("IMPORTRANGE(""https://docs.google.com/spreadsheets/d/1QqKyyYR6Q21VydFLVH3TRQUabQu_ym0Zz7PgGX0-kHA/edit?usp=sharing"",""แผน!AT64"")"),20000)</f>
        <v>20000</v>
      </c>
      <c r="J223" s="215">
        <v>20000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IFERROR(__xludf.DUMMYFUNCTION("IMPORTRANGE(""https://docs.google.com/spreadsheets/d/1QqKyyYR6Q21VydFLVH3TRQUabQu_ym0Zz7PgGX0-kHA/edit?usp=sharing"",""แผน!AT64"")"),20000)</f>
        <v>20000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IFERROR(__xludf.DUMMYFUNCTION("IMPORTRANGE(""https://docs.google.com/spreadsheets/d/1QqKyyYR6Q21VydFLVH3TRQUabQu_ym0Zz7PgGX0-kHA/edit?usp=sharing"",""แผน!AS64"")"),0)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35</v>
      </c>
      <c r="J226" s="345">
        <f t="shared" si="104"/>
        <v>35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227750</v>
      </c>
      <c r="M227" s="356"/>
      <c r="N227" s="356">
        <f t="shared" ref="N227:N231" si="106">N238+N249</f>
        <v>185254.39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163000</v>
      </c>
      <c r="M228" s="93"/>
      <c r="N228" s="93">
        <f t="shared" si="106"/>
        <v>120504.39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37250</v>
      </c>
      <c r="M229" s="93"/>
      <c r="N229" s="93">
        <f t="shared" si="106"/>
        <v>37250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17500</v>
      </c>
      <c r="M230" s="93"/>
      <c r="N230" s="93">
        <f t="shared" si="106"/>
        <v>17500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35</v>
      </c>
      <c r="J233" s="612">
        <f t="shared" si="107"/>
        <v>35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35</v>
      </c>
      <c r="J235" s="612">
        <f t="shared" si="108"/>
        <v>35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342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35</v>
      </c>
      <c r="J237" s="272">
        <f t="shared" si="110"/>
        <v>35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227750</v>
      </c>
      <c r="M238" s="155"/>
      <c r="N238" s="155">
        <f>N239+N240+N241+N242</f>
        <v>185254.39</v>
      </c>
      <c r="O238" s="155">
        <f ca="1">IF(L238&gt;0,N238*100/L238,0)</f>
        <v>81.341115257958293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IFERROR(__xludf.DUMMYFUNCTION("IMPORTRANGE(""https://docs.google.com/spreadsheets/d/1QqKyyYR6Q21VydFLVH3TRQUabQu_ym0Zz7PgGX0-kHA/edit?usp=sharing"",""แผน!AV64"")"),163000)</f>
        <v>163000</v>
      </c>
      <c r="M239" s="283"/>
      <c r="N239" s="872">
        <v>120504.39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IFERROR(__xludf.DUMMYFUNCTION("IMPORTRANGE(""https://docs.google.com/spreadsheets/d/1QqKyyYR6Q21VydFLVH3TRQUabQu_ym0Zz7PgGX0-kHA/edit?usp=sharing"",""แผน!AW64"")"),37250)</f>
        <v>37250</v>
      </c>
      <c r="M240" s="283"/>
      <c r="N240" s="872">
        <v>37250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IFERROR(__xludf.DUMMYFUNCTION("IMPORTRANGE(""https://docs.google.com/spreadsheets/d/1QqKyyYR6Q21VydFLVH3TRQUabQu_ym0Zz7PgGX0-kHA/edit?usp=sharing"",""แผน!AX64"")"),17500)</f>
        <v>17500</v>
      </c>
      <c r="M241" s="283"/>
      <c r="N241" s="872">
        <v>17500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IFERROR(__xludf.DUMMYFUNCTION("IMPORTRANGE(""https://docs.google.com/spreadsheets/d/1QqKyyYR6Q21VydFLVH3TRQUabQu_ym0Zz7PgGX0-kHA/edit?usp=sharing"",""แผน!AY64"")"),10000)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IFERROR(__xludf.DUMMYFUNCTION("IMPORTRANGE(""https://docs.google.com/spreadsheets/d/1QqKyyYR6Q21VydFLVH3TRQUabQu_ym0Zz7PgGX0-kHA/edit?usp=sharing"",""แผน!BE64"")"),35)</f>
        <v>35</v>
      </c>
      <c r="J244" s="215">
        <v>35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35</v>
      </c>
      <c r="J246" s="215">
        <v>35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IFERROR(__xludf.DUMMYFUNCTION("IMPORTRANGE(""https://docs.google.com/spreadsheets/d/1QqKyyYR6Q21VydFLVH3TRQUabQu_ym0Zz7PgGX0-kHA/edit?usp=sharing"",""แผน!AZ64"")"),0)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IFERROR(__xludf.DUMMYFUNCTION("IMPORTRANGE(""https://docs.google.com/spreadsheets/d/1QqKyyYR6Q21VydFLVH3TRQUabQu_ym0Zz7PgGX0-kHA/edit?usp=sharing"",""แผน!BA64"")"),0)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IFERROR(__xludf.DUMMYFUNCTION("IMPORTRANGE(""https://docs.google.com/spreadsheets/d/1QqKyyYR6Q21VydFLVH3TRQUabQu_ym0Zz7PgGX0-kHA/edit?usp=sharing"",""แผน!BB64"")"),0)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IFERROR(__xludf.DUMMYFUNCTION("IMPORTRANGE(""https://docs.google.com/spreadsheets/d/1QqKyyYR6Q21VydFLVH3TRQUabQu_ym0Zz7PgGX0-kHA/edit?usp=sharing"",""แผน!BC64"")"),0)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26900</v>
      </c>
      <c r="N261" s="155">
        <f t="shared" ca="1" si="115"/>
        <v>23800</v>
      </c>
      <c r="O261" s="155">
        <f t="shared" ref="O261:O269" ca="1" si="116">IF(L261&gt;0,N261*100/L261,0)</f>
        <v>88.475836431226767</v>
      </c>
      <c r="P261" s="155">
        <f t="shared" ref="P261:P269" ca="1" si="117">IF(M261&gt;0,N261*100/M261,0)</f>
        <v>88.475836431226767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26900</v>
      </c>
      <c r="N263" s="93">
        <f t="shared" ca="1" si="118"/>
        <v>23800</v>
      </c>
      <c r="O263" s="93">
        <f t="shared" ca="1" si="116"/>
        <v>88.475836431226767</v>
      </c>
      <c r="P263" s="93">
        <f t="shared" ca="1" si="117"/>
        <v>88.475836431226767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26900</v>
      </c>
      <c r="N264" s="497">
        <f t="shared" ca="1" si="119"/>
        <v>23800</v>
      </c>
      <c r="O264" s="497">
        <f t="shared" ca="1" si="116"/>
        <v>88.475836431226767</v>
      </c>
      <c r="P264" s="497">
        <f t="shared" ca="1" si="117"/>
        <v>88.475836431226767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IFERROR(__xludf.DUMMYFUNCTION("IMPORTRANGE(""https://docs.google.com/spreadsheets/d/1MeEWN-I1oV_STSDYn1IFDPWt_1FKiwhDph83XaGc0o0/edit?usp=sharing"",""งบพรบ!CY64"")"),26900)</f>
        <v>26900</v>
      </c>
      <c r="M266" s="93">
        <f ca="1">IFERROR(__xludf.DUMMYFUNCTION("IMPORTRANGE(""https://docs.google.com/spreadsheets/d/1MeEWN-I1oV_STSDYn1IFDPWt_1FKiwhDph83XaGc0o0/edit?usp=sharing"",""งบพรบ!DD64"")"),26900)</f>
        <v>26900</v>
      </c>
      <c r="N266" s="93">
        <f ca="1">IFERROR(__xludf.DUMMYFUNCTION("IMPORTRANGE(""https://docs.google.com/spreadsheets/d/1MeEWN-I1oV_STSDYn1IFDPWt_1FKiwhDph83XaGc0o0/edit?usp=sharing"",""งบพรบ!DF64"")"),23800)</f>
        <v>23800</v>
      </c>
      <c r="O266" s="93">
        <f t="shared" ca="1" si="116"/>
        <v>88.475836431226767</v>
      </c>
      <c r="P266" s="93">
        <f t="shared" ca="1" si="117"/>
        <v>88.475836431226767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IFERROR(__xludf.DUMMYFUNCTION("IMPORTRANGE(""https://docs.google.com/spreadsheets/d/1MeEWN-I1oV_STSDYn1IFDPWt_1FKiwhDph83XaGc0o0/edit?usp=sharing"",""งบพรบ!DB64"")"),0)</f>
        <v>0</v>
      </c>
      <c r="M269" s="93">
        <f ca="1">IFERROR(__xludf.DUMMYFUNCTION("IMPORTRANGE(""https://docs.google.com/spreadsheets/d/1MeEWN-I1oV_STSDYn1IFDPWt_1FKiwhDph83XaGc0o0/edit?usp=sharing"",""งบพรบ!DE64"")"),0)</f>
        <v>0</v>
      </c>
      <c r="N269" s="93">
        <f ca="1">IFERROR(__xludf.DUMMYFUNCTION("IMPORTRANGE(""https://docs.google.com/spreadsheets/d/1MeEWN-I1oV_STSDYn1IFDPWt_1FKiwhDph83XaGc0o0/edit?usp=sharing"",""งบพรบ!DG64"")"),0)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IFERROR(__xludf.DUMMYFUNCTION("IMPORTRANGE(""https://docs.google.com/spreadsheets/d/1MeEWN-I1oV_STSDYn1IFDPWt_1FKiwhDph83XaGc0o0/edit?usp=sharing"",""งบพรบ!DI64"")"),0)</f>
        <v>0</v>
      </c>
      <c r="M282" s="93">
        <f ca="1">IFERROR(__xludf.DUMMYFUNCTION("IMPORTRANGE(""https://docs.google.com/spreadsheets/d/1MeEWN-I1oV_STSDYn1IFDPWt_1FKiwhDph83XaGc0o0/edit?usp=sharing"",""งบพรบ!DN64"")"),0)</f>
        <v>0</v>
      </c>
      <c r="N282" s="93">
        <f ca="1">IFERROR(__xludf.DUMMYFUNCTION("IMPORTRANGE(""https://docs.google.com/spreadsheets/d/1MeEWN-I1oV_STSDYn1IFDPWt_1FKiwhDph83XaGc0o0/edit?usp=sharing"",""งบพรบ!DP64"")"),0)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IFERROR(__xludf.DUMMYFUNCTION("IMPORTRANGE(""https://docs.google.com/spreadsheets/d/1MeEWN-I1oV_STSDYn1IFDPWt_1FKiwhDph83XaGc0o0/edit?usp=sharing"",""งบพรบ!DL64"")"),0)</f>
        <v>0</v>
      </c>
      <c r="M285" s="93">
        <f ca="1">IFERROR(__xludf.DUMMYFUNCTION("IMPORTRANGE(""https://docs.google.com/spreadsheets/d/1MeEWN-I1oV_STSDYn1IFDPWt_1FKiwhDph83XaGc0o0/edit?usp=sharing"",""งบพรบ!DO64"")"),0)</f>
        <v>0</v>
      </c>
      <c r="N285" s="93">
        <f ca="1">IFERROR(__xludf.DUMMYFUNCTION("IMPORTRANGE(""https://docs.google.com/spreadsheets/d/1MeEWN-I1oV_STSDYn1IFDPWt_1FKiwhDph83XaGc0o0/edit?usp=sharing"",""งบพรบ!DQ64"")"),0)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IFERROR(__xludf.DUMMYFUNCTION("IMPORTRANGE(""https://docs.google.com/spreadsheets/d/1QqKyyYR6Q21VydFLVH3TRQUabQu_ym0Zz7PgGX0-kHA/edit?usp=sharing"",""แผน!EC64"")"),0)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IFERROR(__xludf.DUMMYFUNCTION("IMPORTRANGE(""https://docs.google.com/spreadsheets/d/1QqKyyYR6Q21VydFLVH3TRQUabQu_ym0Zz7PgGX0-kHA/edit?usp=sharing"",""แผน!EB64"")"),0)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IFERROR(__xludf.DUMMYFUNCTION("IMPORTRANGE(""https://docs.google.com/spreadsheets/d/1QqKyyYR6Q21VydFLVH3TRQUabQu_ym0Zz7PgGX0-kHA/edit?usp=sharing"",""แผน!EB64"")"),0)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IFERROR(__xludf.DUMMYFUNCTION("IMPORTRANGE(""https://docs.google.com/spreadsheets/d/1QqKyyYR6Q21VydFLVH3TRQUabQu_ym0Zz7PgGX0-kHA/edit?usp=sharing"",""แผน!EB64"")"),0)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IFERROR(__xludf.DUMMYFUNCTION("IMPORTRANGE(""https://docs.google.com/spreadsheets/d/1QqKyyYR6Q21VydFLVH3TRQUabQu_ym0Zz7PgGX0-kHA/edit?usp=sharing"",""แผน!EB64"")"),0)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IFERROR(__xludf.DUMMYFUNCTION("IMPORTRANGE(""https://docs.google.com/spreadsheets/d/1QqKyyYR6Q21VydFLVH3TRQUabQu_ym0Zz7PgGX0-kHA/edit?usp=sharing"",""แผน!EB64"")"),0)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15</v>
      </c>
      <c r="J297" s="444">
        <f t="shared" si="133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63800</v>
      </c>
      <c r="M298" s="155">
        <f t="shared" ca="1" si="134"/>
        <v>63800</v>
      </c>
      <c r="N298" s="155">
        <f t="shared" ca="1" si="134"/>
        <v>63800</v>
      </c>
      <c r="O298" s="155">
        <f t="shared" ref="O298:O306" ca="1" si="135">IF(L298&gt;0,N298*100/L298,0)</f>
        <v>100</v>
      </c>
      <c r="P298" s="155">
        <f t="shared" ref="P298:P306" ca="1" si="136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63800</v>
      </c>
      <c r="M300" s="93">
        <f t="shared" ca="1" si="137"/>
        <v>63800</v>
      </c>
      <c r="N300" s="93">
        <f t="shared" ca="1" si="137"/>
        <v>63800</v>
      </c>
      <c r="O300" s="93">
        <f t="shared" ca="1" si="135"/>
        <v>100</v>
      </c>
      <c r="P300" s="93">
        <f t="shared" ca="1" si="136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63800</v>
      </c>
      <c r="M301" s="497">
        <f t="shared" ca="1" si="138"/>
        <v>63800</v>
      </c>
      <c r="N301" s="497">
        <f t="shared" ca="1" si="138"/>
        <v>63800</v>
      </c>
      <c r="O301" s="497">
        <f t="shared" ca="1" si="135"/>
        <v>100</v>
      </c>
      <c r="P301" s="497">
        <f t="shared" ca="1" si="136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IFERROR(__xludf.DUMMYFUNCTION("IMPORTRANGE(""https://docs.google.com/spreadsheets/d/1MeEWN-I1oV_STSDYn1IFDPWt_1FKiwhDph83XaGc0o0/edit?usp=sharing"",""งบพรบ!DS64"")"),63800)</f>
        <v>63800</v>
      </c>
      <c r="M303" s="93">
        <f ca="1">IFERROR(__xludf.DUMMYFUNCTION("IMPORTRANGE(""https://docs.google.com/spreadsheets/d/1MeEWN-I1oV_STSDYn1IFDPWt_1FKiwhDph83XaGc0o0/edit?usp=sharing"",""งบพรบ!DX64"")"),63800)</f>
        <v>63800</v>
      </c>
      <c r="N303" s="93">
        <f ca="1">IFERROR(__xludf.DUMMYFUNCTION("IMPORTRANGE(""https://docs.google.com/spreadsheets/d/1MeEWN-I1oV_STSDYn1IFDPWt_1FKiwhDph83XaGc0o0/edit?usp=sharing"",""งบพรบ!DZ64"")"),63800)</f>
        <v>63800</v>
      </c>
      <c r="O303" s="93">
        <f t="shared" ca="1" si="135"/>
        <v>100</v>
      </c>
      <c r="P303" s="93">
        <f t="shared" ca="1" si="136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IFERROR(__xludf.DUMMYFUNCTION("IMPORTRANGE(""https://docs.google.com/spreadsheets/d/1MeEWN-I1oV_STSDYn1IFDPWt_1FKiwhDph83XaGc0o0/edit?usp=sharing"",""งบพรบ!DV64"")"),0)</f>
        <v>0</v>
      </c>
      <c r="M306" s="93">
        <f ca="1">IFERROR(__xludf.DUMMYFUNCTION("IMPORTRANGE(""https://docs.google.com/spreadsheets/d/1MeEWN-I1oV_STSDYn1IFDPWt_1FKiwhDph83XaGc0o0/edit?usp=sharing"",""งบพรบ!DY64"")"),0)</f>
        <v>0</v>
      </c>
      <c r="N306" s="93">
        <f ca="1">IFERROR(__xludf.DUMMYFUNCTION("IMPORTRANGE(""https://docs.google.com/spreadsheets/d/1MeEWN-I1oV_STSDYn1IFDPWt_1FKiwhDph83XaGc0o0/edit?usp=sharing"",""งบพรบ!EA64"")"),0)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IFERROR(__xludf.DUMMYFUNCTION("IMPORTRANGE(""https://docs.google.com/spreadsheets/d/1QqKyyYR6Q21VydFLVH3TRQUabQu_ym0Zz7PgGX0-kHA/edit?usp=sharing"",""แผน!ED64"")"),15)</f>
        <v>15</v>
      </c>
      <c r="J309" s="215">
        <v>15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IFERROR(__xludf.DUMMYFUNCTION("IMPORTRANGE(""https://docs.google.com/spreadsheets/d/1QqKyyYR6Q21VydFLVH3TRQUabQu_ym0Zz7PgGX0-kHA/edit?usp=sharing"",""แผน!ED64"")"),15)</f>
        <v>15</v>
      </c>
      <c r="J310" s="215">
        <v>15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IFERROR(__xludf.DUMMYFUNCTION("IMPORTRANGE(""https://docs.google.com/spreadsheets/d/1QqKyyYR6Q21VydFLVH3TRQUabQu_ym0Zz7PgGX0-kHA/edit?usp=sharing"",""แผน!ED64"")"),15)</f>
        <v>15</v>
      </c>
      <c r="J311" s="215">
        <v>15</v>
      </c>
      <c r="K311" s="497">
        <f t="shared" ca="1" si="140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IFERROR(__xludf.DUMMYFUNCTION("IMPORTRANGE(""https://docs.google.com/spreadsheets/d/1QqKyyYR6Q21VydFLVH3TRQUabQu_ym0Zz7PgGX0-kHA/edit?usp=sharing"",""แผน!EE64"")"),3)</f>
        <v>3</v>
      </c>
      <c r="J312" s="215">
        <v>3</v>
      </c>
      <c r="K312" s="497">
        <f t="shared" ca="1" si="140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IFERROR(__xludf.DUMMYFUNCTION("IMPORTRANGE(""https://docs.google.com/spreadsheets/d/1MeEWN-I1oV_STSDYn1IFDPWt_1FKiwhDph83XaGc0o0/edit?usp=sharing"",""งบพรบ!EC64"")"),0)</f>
        <v>0</v>
      </c>
      <c r="M320" s="93">
        <f ca="1">IFERROR(__xludf.DUMMYFUNCTION("IMPORTRANGE(""https://docs.google.com/spreadsheets/d/1MeEWN-I1oV_STSDYn1IFDPWt_1FKiwhDph83XaGc0o0/edit?usp=sharing"",""งบพรบ!EH64"")"),0)</f>
        <v>0</v>
      </c>
      <c r="N320" s="93">
        <f ca="1">IFERROR(__xludf.DUMMYFUNCTION("IMPORTRANGE(""https://docs.google.com/spreadsheets/d/1MeEWN-I1oV_STSDYn1IFDPWt_1FKiwhDph83XaGc0o0/edit?usp=sharing"",""งบพรบ!EJ64"")"),0)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IFERROR(__xludf.DUMMYFUNCTION("IMPORTRANGE(""https://docs.google.com/spreadsheets/d/1MeEWN-I1oV_STSDYn1IFDPWt_1FKiwhDph83XaGc0o0/edit?usp=sharing"",""งบพรบ!EF64"")"),0)</f>
        <v>0</v>
      </c>
      <c r="M323" s="93">
        <f ca="1">IFERROR(__xludf.DUMMYFUNCTION("IMPORTRANGE(""https://docs.google.com/spreadsheets/d/1MeEWN-I1oV_STSDYn1IFDPWt_1FKiwhDph83XaGc0o0/edit?usp=sharing"",""งบพรบ!EI64"")"),0)</f>
        <v>0</v>
      </c>
      <c r="N323" s="93">
        <f ca="1">IFERROR(__xludf.DUMMYFUNCTION("IMPORTRANGE(""https://docs.google.com/spreadsheets/d/1MeEWN-I1oV_STSDYn1IFDPWt_1FKiwhDph83XaGc0o0/edit?usp=sharing"",""งบพรบ!EK64"")"),0)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IFERROR(__xludf.DUMMYFUNCTION("IMPORTRANGE(""https://docs.google.com/spreadsheets/d/1QqKyyYR6Q21VydFLVH3TRQUabQu_ym0Zz7PgGX0-kHA/edit?usp=sharing"",""แผน!EG64"")"),800)</f>
        <v>800</v>
      </c>
      <c r="J327" s="444">
        <f ca="1">J338+J341+J342+J343</f>
        <v>1267</v>
      </c>
      <c r="K327" s="445">
        <f ca="1">IF(I327&gt;0,J327*100/I327,0)</f>
        <v>158.375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588600</v>
      </c>
      <c r="M328" s="155">
        <f t="shared" ca="1" si="148"/>
        <v>591100</v>
      </c>
      <c r="N328" s="155">
        <f t="shared" ca="1" si="148"/>
        <v>383462.64</v>
      </c>
      <c r="O328" s="155">
        <f t="shared" ref="O328:O336" ca="1" si="149">IF(L328&gt;0,N328*100/L328,0)</f>
        <v>65.148256880733939</v>
      </c>
      <c r="P328" s="155">
        <f t="shared" ref="P328:P336" ca="1" si="150">IF(M328&gt;0,N328*100/M328,0)</f>
        <v>64.872718660125187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588600</v>
      </c>
      <c r="M330" s="93">
        <f t="shared" ca="1" si="151"/>
        <v>591100</v>
      </c>
      <c r="N330" s="93">
        <f t="shared" ca="1" si="151"/>
        <v>383462.64</v>
      </c>
      <c r="O330" s="93">
        <f t="shared" ca="1" si="149"/>
        <v>65.148256880733939</v>
      </c>
      <c r="P330" s="93">
        <f t="shared" ca="1" si="150"/>
        <v>64.872718660125187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588600</v>
      </c>
      <c r="M331" s="497">
        <f t="shared" ca="1" si="152"/>
        <v>591100</v>
      </c>
      <c r="N331" s="497">
        <f t="shared" ca="1" si="152"/>
        <v>383462.64</v>
      </c>
      <c r="O331" s="497">
        <f t="shared" ca="1" si="149"/>
        <v>65.148256880733939</v>
      </c>
      <c r="P331" s="497">
        <f t="shared" ca="1" si="150"/>
        <v>64.872718660125187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IFERROR(__xludf.DUMMYFUNCTION("IMPORTRANGE(""https://docs.google.com/spreadsheets/d/1MeEWN-I1oV_STSDYn1IFDPWt_1FKiwhDph83XaGc0o0/edit?usp=sharing"",""งบพรบ!EM64"")"),588600)</f>
        <v>588600</v>
      </c>
      <c r="M333" s="93">
        <f ca="1">IFERROR(__xludf.DUMMYFUNCTION("IMPORTRANGE(""https://docs.google.com/spreadsheets/d/1MeEWN-I1oV_STSDYn1IFDPWt_1FKiwhDph83XaGc0o0/edit?usp=sharing"",""งบพรบ!ER64"")"),591100)</f>
        <v>591100</v>
      </c>
      <c r="N333" s="93">
        <f ca="1">IFERROR(__xludf.DUMMYFUNCTION("IMPORTRANGE(""https://docs.google.com/spreadsheets/d/1MeEWN-I1oV_STSDYn1IFDPWt_1FKiwhDph83XaGc0o0/edit?usp=sharing"",""งบพรบ!ET64"")"),383462.64)</f>
        <v>383462.64</v>
      </c>
      <c r="O333" s="93">
        <f t="shared" ca="1" si="149"/>
        <v>65.148256880733939</v>
      </c>
      <c r="P333" s="93">
        <f t="shared" ca="1" si="150"/>
        <v>64.872718660125187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IFERROR(__xludf.DUMMYFUNCTION("IMPORTRANGE(""https://docs.google.com/spreadsheets/d/1MeEWN-I1oV_STSDYn1IFDPWt_1FKiwhDph83XaGc0o0/edit?usp=sharing"",""งบพรบ!EP64"")"),0)</f>
        <v>0</v>
      </c>
      <c r="M336" s="93">
        <f ca="1">IFERROR(__xludf.DUMMYFUNCTION("IMPORTRANGE(""https://docs.google.com/spreadsheets/d/1MeEWN-I1oV_STSDYn1IFDPWt_1FKiwhDph83XaGc0o0/edit?usp=sharing"",""งบพรบ!ES64"")"),0)</f>
        <v>0</v>
      </c>
      <c r="N336" s="93">
        <f ca="1">IFERROR(__xludf.DUMMYFUNCTION("IMPORTRANGE(""https://docs.google.com/spreadsheets/d/1MeEWN-I1oV_STSDYn1IFDPWt_1FKiwhDph83XaGc0o0/edit?usp=sharing"",""งบพรบ!EU64"")"),0)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IFERROR(__xludf.DUMMYFUNCTION("IMPORTRANGE(""https://docs.google.com/spreadsheets/d/1QqKyyYR6Q21VydFLVH3TRQUabQu_ym0Zz7PgGX0-kHA/edit?usp=sharing"",""แผน!EG64"")"),800)</f>
        <v>800</v>
      </c>
      <c r="J338" s="270">
        <f ca="1">IFERROR(__xludf.DUMMYFUNCTION("IMPORTRANGE(""https://docs.google.com/spreadsheets/d/1kVcqe37tkHyjCSG3S0O1AXqVkqjo8mSIZil3BcpIysc/edit?usp=sharing"",""ศูนย์!D64"")"),686)</f>
        <v>686</v>
      </c>
      <c r="K338" s="497">
        <f ca="1">IF(I338&gt;0,J338*100/I338,0)</f>
        <v>85.75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IFERROR(__xludf.DUMMYFUNCTION("IMPORTRANGE(""https://docs.google.com/spreadsheets/d/1QqKyyYR6Q21VydFLVH3TRQUabQu_ym0Zz7PgGX0-kHA/edit?usp=sharing"",""แผน!EH64"")"),3)</f>
        <v>3</v>
      </c>
      <c r="J340" s="270">
        <f ca="1">IFERROR(__xludf.DUMMYFUNCTION("IMPORTRANGE(""https://docs.google.com/spreadsheets/d/1kVcqe37tkHyjCSG3S0O1AXqVkqjo8mSIZil3BcpIysc/edit?usp=sharing"",""ศูนย์!E64"")"),7)</f>
        <v>7</v>
      </c>
      <c r="K340" s="497">
        <f ca="1">IF(I340&gt;0,J340*100/I340,0)</f>
        <v>233.33333333333334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IFERROR(__xludf.DUMMYFUNCTION("IMPORTRANGE(""https://docs.google.com/spreadsheets/d/1kVcqe37tkHyjCSG3S0O1AXqVkqjo8mSIZil3BcpIysc/edit?usp=sharing"",""ศูนย์!F64"")"),581)</f>
        <v>581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292110</v>
      </c>
      <c r="M345" s="155">
        <f t="shared" ca="1" si="154"/>
        <v>299110</v>
      </c>
      <c r="N345" s="155">
        <f t="shared" ca="1" si="154"/>
        <v>227481.93</v>
      </c>
      <c r="O345" s="155">
        <f t="shared" ref="O345:O353" ca="1" si="155">IF(L345&gt;0,N345*100/L345,0)</f>
        <v>77.87543391188251</v>
      </c>
      <c r="P345" s="155">
        <f t="shared" ref="P345:P353" ca="1" si="156">IF(M345&gt;0,N345*100/M345,0)</f>
        <v>76.052933703319852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292110</v>
      </c>
      <c r="M347" s="93">
        <f t="shared" ca="1" si="157"/>
        <v>299110</v>
      </c>
      <c r="N347" s="93">
        <f t="shared" ca="1" si="157"/>
        <v>227481.93</v>
      </c>
      <c r="O347" s="93">
        <f t="shared" ca="1" si="155"/>
        <v>77.87543391188251</v>
      </c>
      <c r="P347" s="93">
        <f t="shared" ca="1" si="156"/>
        <v>76.052933703319852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216110</v>
      </c>
      <c r="M348" s="497">
        <f t="shared" ca="1" si="158"/>
        <v>223110</v>
      </c>
      <c r="N348" s="497">
        <f t="shared" ca="1" si="158"/>
        <v>151481.93</v>
      </c>
      <c r="O348" s="497">
        <f t="shared" ca="1" si="155"/>
        <v>70.094826708620616</v>
      </c>
      <c r="P348" s="497">
        <f t="shared" ca="1" si="156"/>
        <v>67.895625476222492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IFERROR(__xludf.DUMMYFUNCTION("IMPORTRANGE(""https://docs.google.com/spreadsheets/d/1MeEWN-I1oV_STSDYn1IFDPWt_1FKiwhDph83XaGc0o0/edit?usp=sharing"",""งบพรบ!EW64"")"),216110)</f>
        <v>216110</v>
      </c>
      <c r="M350" s="93">
        <f ca="1">IFERROR(__xludf.DUMMYFUNCTION("IMPORTRANGE(""https://docs.google.com/spreadsheets/d/1MeEWN-I1oV_STSDYn1IFDPWt_1FKiwhDph83XaGc0o0/edit?usp=sharing"",""งบพรบ!FB64"")"),223110)</f>
        <v>223110</v>
      </c>
      <c r="N350" s="93">
        <f ca="1">IFERROR(__xludf.DUMMYFUNCTION("IMPORTRANGE(""https://docs.google.com/spreadsheets/d/1MeEWN-I1oV_STSDYn1IFDPWt_1FKiwhDph83XaGc0o0/edit?usp=sharing"",""งบพรบ!FD64"")"),151481.93)</f>
        <v>151481.93</v>
      </c>
      <c r="O350" s="93">
        <f t="shared" ca="1" si="155"/>
        <v>70.094826708620616</v>
      </c>
      <c r="P350" s="93">
        <f t="shared" ca="1" si="156"/>
        <v>67.895625476222492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76000</v>
      </c>
      <c r="M351" s="497">
        <f t="shared" ca="1" si="159"/>
        <v>76000</v>
      </c>
      <c r="N351" s="497">
        <f t="shared" ca="1" si="159"/>
        <v>76000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IFERROR(__xludf.DUMMYFUNCTION("IMPORTRANGE(""https://docs.google.com/spreadsheets/d/1MeEWN-I1oV_STSDYn1IFDPWt_1FKiwhDph83XaGc0o0/edit?usp=sharing"",""งบพรบ!EZ64"")"),76000)</f>
        <v>76000</v>
      </c>
      <c r="M353" s="93">
        <f ca="1">IFERROR(__xludf.DUMMYFUNCTION("IMPORTRANGE(""https://docs.google.com/spreadsheets/d/1MeEWN-I1oV_STSDYn1IFDPWt_1FKiwhDph83XaGc0o0/edit?usp=sharing"",""งบพรบ!FC64"")"),76000)</f>
        <v>76000</v>
      </c>
      <c r="N353" s="93">
        <f ca="1">IFERROR(__xludf.DUMMYFUNCTION("IMPORTRANGE(""https://docs.google.com/spreadsheets/d/1MeEWN-I1oV_STSDYn1IFDPWt_1FKiwhDph83XaGc0o0/edit?usp=sharing"",""งบพรบ!FE64"")"),76000)</f>
        <v>76000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IFERROR(__xludf.DUMMYFUNCTION("IMPORTRANGE(""https://docs.google.com/spreadsheets/d/1QqKyyYR6Q21VydFLVH3TRQUabQu_ym0Zz7PgGX0-kHA/edit?usp=sharing"",""แผน!EP64"")"),0)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IFERROR(__xludf.DUMMYFUNCTION("IMPORTRANGE(""https://docs.google.com/spreadsheets/d/1XWAQStnk-4SwqDmLtmXYiTMKHgktTP8We1SCoS47DrQ/edit?usp=sharing"",""จัดที่ดิน!W64"")"),0)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IFERROR(__xludf.DUMMYFUNCTION("IMPORTRANGE(""https://docs.google.com/spreadsheets/d/1QqKyyYR6Q21VydFLVH3TRQUabQu_ym0Zz7PgGX0-kHA/edit?usp=sharing"",""แผน!EO64"")"),0)</f>
        <v>0</v>
      </c>
      <c r="J359" s="270">
        <f ca="1">IFERROR(__xludf.DUMMYFUNCTION("IMPORTRANGE(""https://docs.google.com/spreadsheets/d/1XWAQStnk-4SwqDmLtmXYiTMKHgktTP8We1SCoS47DrQ/edit?usp=sharing"",""จัดที่ดิน!X64"")"),0)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IFERROR(__xludf.DUMMYFUNCTION("IMPORTRANGE(""https://docs.google.com/spreadsheets/d/1QqKyyYR6Q21VydFLVH3TRQUabQu_ym0Zz7PgGX0-kHA/edit?usp=sharing"",""แผน!EP64"")"),0)</f>
        <v>0</v>
      </c>
      <c r="J360" s="270">
        <f ca="1">IFERROR(__xludf.DUMMYFUNCTION("IMPORTRANGE(""https://docs.google.com/spreadsheets/d/1XWAQStnk-4SwqDmLtmXYiTMKHgktTP8We1SCoS47DrQ/edit?usp=sharing"",""จัดที่ดิน!Y64"")"),0)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IFERROR(__xludf.DUMMYFUNCTION("IMPORTRANGE(""https://docs.google.com/spreadsheets/d/1XWAQStnk-4SwqDmLtmXYiTMKHgktTP8We1SCoS47DrQ/edit?usp=sharing"",""จัดที่ดิน!Z64"")"),0)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IFERROR(__xludf.DUMMYFUNCTION("IMPORTRANGE(""https://docs.google.com/spreadsheets/d/1QqKyyYR6Q21VydFLVH3TRQUabQu_ym0Zz7PgGX0-kHA/edit?usp=sharing"",""แผน!EP64"")"),0)</f>
        <v>0</v>
      </c>
      <c r="J362" s="270">
        <f ca="1">IFERROR(__xludf.DUMMYFUNCTION("IMPORTRANGE(""https://docs.google.com/spreadsheets/d/1XWAQStnk-4SwqDmLtmXYiTMKHgktTP8We1SCoS47DrQ/edit?usp=sharing"",""จัดที่ดิน!AA64"")"),0)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IFERROR(__xludf.DUMMYFUNCTION("IMPORTRANGE(""https://docs.google.com/spreadsheets/d/1XWAQStnk-4SwqDmLtmXYiTMKHgktTP8We1SCoS47DrQ/edit?usp=sharing"",""จัดที่ดิน!AB64"")"),0)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IFERROR(__xludf.DUMMYFUNCTION("IMPORTRANGE(""https://docs.google.com/spreadsheets/d/1QqKyyYR6Q21VydFLVH3TRQUabQu_ym0Zz7PgGX0-kHA/edit?usp=sharing"",""แผน!EJ64"")"),0)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IFERROR(__xludf.DUMMYFUNCTION("IMPORTRANGE(""https://docs.google.com/spreadsheets/d/1XWAQStnk-4SwqDmLtmXYiTMKHgktTP8We1SCoS47DrQ/edit?usp=sharing"",""จัดที่ดิน!E64"")"),0)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IFERROR(__xludf.DUMMYFUNCTION("IMPORTRANGE(""https://docs.google.com/spreadsheets/d/1QqKyyYR6Q21VydFLVH3TRQUabQu_ym0Zz7PgGX0-kHA/edit?usp=sharing"",""แผน!EI64"")"),0)</f>
        <v>0</v>
      </c>
      <c r="J369" s="270">
        <f ca="1">IFERROR(__xludf.DUMMYFUNCTION("IMPORTRANGE(""https://docs.google.com/spreadsheets/d/1XWAQStnk-4SwqDmLtmXYiTMKHgktTP8We1SCoS47DrQ/edit?usp=sharing"",""จัดที่ดิน!F64"")"),0)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IFERROR(__xludf.DUMMYFUNCTION("IMPORTRANGE(""https://docs.google.com/spreadsheets/d/1QqKyyYR6Q21VydFLVH3TRQUabQu_ym0Zz7PgGX0-kHA/edit?usp=sharing"",""แผน!EJ64"")"),0)</f>
        <v>0</v>
      </c>
      <c r="J370" s="270">
        <f ca="1">IFERROR(__xludf.DUMMYFUNCTION("IMPORTRANGE(""https://docs.google.com/spreadsheets/d/1XWAQStnk-4SwqDmLtmXYiTMKHgktTP8We1SCoS47DrQ/edit?usp=sharing"",""จัดที่ดิน!G64"")"),0)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IFERROR(__xludf.DUMMYFUNCTION("IMPORTRANGE(""https://docs.google.com/spreadsheets/d/1XWAQStnk-4SwqDmLtmXYiTMKHgktTP8We1SCoS47DrQ/edit?usp=sharing"",""จัดที่ดิน!H64"")"),0)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IFERROR(__xludf.DUMMYFUNCTION("IMPORTRANGE(""https://docs.google.com/spreadsheets/d/1QqKyyYR6Q21VydFLVH3TRQUabQu_ym0Zz7PgGX0-kHA/edit?usp=sharing"",""แผน!EJ64"")"),0)</f>
        <v>0</v>
      </c>
      <c r="J372" s="270">
        <f ca="1">IFERROR(__xludf.DUMMYFUNCTION("IMPORTRANGE(""https://docs.google.com/spreadsheets/d/1XWAQStnk-4SwqDmLtmXYiTMKHgktTP8We1SCoS47DrQ/edit?usp=sharing"",""จัดที่ดิน!I64"")"),0)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IFERROR(__xludf.DUMMYFUNCTION("IMPORTRANGE(""https://docs.google.com/spreadsheets/d/1XWAQStnk-4SwqDmLtmXYiTMKHgktTP8We1SCoS47DrQ/edit?usp=sharing"",""จัดที่ดิน!J64"")"),0)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IFERROR(__xludf.DUMMYFUNCTION("IMPORTRANGE(""https://docs.google.com/spreadsheets/d/1QqKyyYR6Q21VydFLVH3TRQUabQu_ym0Zz7PgGX0-kHA/edit?usp=sharing"",""แผน!EU64"")"),0)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IFERROR(__xludf.DUMMYFUNCTION("IMPORTRANGE(""https://docs.google.com/spreadsheets/d/1XWAQStnk-4SwqDmLtmXYiTMKHgktTP8We1SCoS47DrQ/edit?usp=sharing"",""จัดที่ดิน!AH64"")"),0)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IFERROR(__xludf.DUMMYFUNCTION("IMPORTRANGE(""https://docs.google.com/spreadsheets/d/1QqKyyYR6Q21VydFLVH3TRQUabQu_ym0Zz7PgGX0-kHA/edit?usp=sharing"",""แผน!ET64"")"),0)</f>
        <v>0</v>
      </c>
      <c r="J378" s="270">
        <f ca="1">IFERROR(__xludf.DUMMYFUNCTION("IMPORTRANGE(""https://docs.google.com/spreadsheets/d/1XWAQStnk-4SwqDmLtmXYiTMKHgktTP8We1SCoS47DrQ/edit?usp=sharing"",""จัดที่ดิน!AI64"")"),0)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IFERROR(__xludf.DUMMYFUNCTION("IMPORTRANGE(""https://docs.google.com/spreadsheets/d/1QqKyyYR6Q21VydFLVH3TRQUabQu_ym0Zz7PgGX0-kHA/edit?usp=sharing"",""แผน!EU64"")"),0)</f>
        <v>0</v>
      </c>
      <c r="J379" s="270">
        <f ca="1">IFERROR(__xludf.DUMMYFUNCTION("IMPORTRANGE(""https://docs.google.com/spreadsheets/d/1XWAQStnk-4SwqDmLtmXYiTMKHgktTP8We1SCoS47DrQ/edit?usp=sharing"",""จัดที่ดิน!AJ64"")"),0)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IFERROR(__xludf.DUMMYFUNCTION("IMPORTRANGE(""https://docs.google.com/spreadsheets/d/1XWAQStnk-4SwqDmLtmXYiTMKHgktTP8We1SCoS47DrQ/edit?usp=sharing"",""จัดที่ดิน!AK64"")"),0)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IFERROR(__xludf.DUMMYFUNCTION("IMPORTRANGE(""https://docs.google.com/spreadsheets/d/1QqKyyYR6Q21VydFLVH3TRQUabQu_ym0Zz7PgGX0-kHA/edit?usp=sharing"",""แผน!EU64"")"),0)</f>
        <v>0</v>
      </c>
      <c r="J381" s="270">
        <f ca="1">IFERROR(__xludf.DUMMYFUNCTION("IMPORTRANGE(""https://docs.google.com/spreadsheets/d/1XWAQStnk-4SwqDmLtmXYiTMKHgktTP8We1SCoS47DrQ/edit?usp=sharing"",""จัดที่ดิน!AL64"")"),0)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IFERROR(__xludf.DUMMYFUNCTION("IMPORTRANGE(""https://docs.google.com/spreadsheets/d/1XWAQStnk-4SwqDmLtmXYiTMKHgktTP8We1SCoS47DrQ/edit?usp=sharing"",""จัดที่ดิน!AM64"")"),0)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IFERROR(__xludf.DUMMYFUNCTION("IMPORTRANGE(""https://docs.google.com/spreadsheets/d/1QqKyyYR6Q21VydFLVH3TRQUabQu_ym0Zz7PgGX0-kHA/edit?usp=sharing"",""แผน!EW64"")"),25)</f>
        <v>25</v>
      </c>
      <c r="J385" s="501">
        <f ca="1">IFERROR(__xludf.DUMMYFUNCTION("IMPORTRANGE(""https://docs.google.com/spreadsheets/d/1XWAQStnk-4SwqDmLtmXYiTMKHgktTP8We1SCoS47DrQ/edit?usp=sharing"",""จัดที่ดิน!AP64"")"),11)</f>
        <v>11</v>
      </c>
      <c r="K385" s="502">
        <f ca="1">IF(I385&gt;0,J385*100/I385,0)</f>
        <v>44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IFERROR(__xludf.DUMMYFUNCTION("IMPORTRANGE(""https://docs.google.com/spreadsheets/d/1MeEWN-I1oV_STSDYn1IFDPWt_1FKiwhDph83XaGc0o0/edit?usp=sharing"",""งบพรบ!FG64"")"),0)</f>
        <v>0</v>
      </c>
      <c r="M394" s="93">
        <f ca="1">IFERROR(__xludf.DUMMYFUNCTION("IMPORTRANGE(""https://docs.google.com/spreadsheets/d/1MeEWN-I1oV_STSDYn1IFDPWt_1FKiwhDph83XaGc0o0/edit?usp=sharing"",""งบพรบ!FL64"")"),0)</f>
        <v>0</v>
      </c>
      <c r="N394" s="93">
        <f ca="1">IFERROR(__xludf.DUMMYFUNCTION("IMPORTRANGE(""https://docs.google.com/spreadsheets/d/1MeEWN-I1oV_STSDYn1IFDPWt_1FKiwhDph83XaGc0o0/edit?usp=sharing"",""งบพรบ!FN64"")"),0)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IFERROR(__xludf.DUMMYFUNCTION("IMPORTRANGE(""https://docs.google.com/spreadsheets/d/1MeEWN-I1oV_STSDYn1IFDPWt_1FKiwhDph83XaGc0o0/edit?usp=sharing"",""งบพรบ!FJ64"")"),0)</f>
        <v>0</v>
      </c>
      <c r="M397" s="93">
        <f ca="1">IFERROR(__xludf.DUMMYFUNCTION("IMPORTRANGE(""https://docs.google.com/spreadsheets/d/1MeEWN-I1oV_STSDYn1IFDPWt_1FKiwhDph83XaGc0o0/edit?usp=sharing"",""งบพรบ!FM64"")"),0)</f>
        <v>0</v>
      </c>
      <c r="N397" s="93">
        <f ca="1">IFERROR(__xludf.DUMMYFUNCTION("IMPORTRANGE(""https://docs.google.com/spreadsheets/d/1MeEWN-I1oV_STSDYn1IFDPWt_1FKiwhDph83XaGc0o0/edit?usp=sharing"",""งบพรบ!FO64"")"),0)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IFERROR(__xludf.DUMMYFUNCTION("IMPORTRANGE(""https://docs.google.com/spreadsheets/d/1MeEWN-I1oV_STSDYn1IFDPWt_1FKiwhDph83XaGc0o0/edit?usp=sharing"",""งบพรบ!FQ64"")"),0)</f>
        <v>0</v>
      </c>
      <c r="M407" s="93">
        <f ca="1">IFERROR(__xludf.DUMMYFUNCTION("IMPORTRANGE(""https://docs.google.com/spreadsheets/d/1MeEWN-I1oV_STSDYn1IFDPWt_1FKiwhDph83XaGc0o0/edit?usp=sharing"",""งบพรบ!FV64"")"),0)</f>
        <v>0</v>
      </c>
      <c r="N407" s="93">
        <f ca="1">IFERROR(__xludf.DUMMYFUNCTION("IMPORTRANGE(""https://docs.google.com/spreadsheets/d/1MeEWN-I1oV_STSDYn1IFDPWt_1FKiwhDph83XaGc0o0/edit?usp=sharing"",""งบพรบ!FX64"")"),0)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IFERROR(__xludf.DUMMYFUNCTION("IMPORTRANGE(""https://docs.google.com/spreadsheets/d/1MeEWN-I1oV_STSDYn1IFDPWt_1FKiwhDph83XaGc0o0/edit?usp=sharing"",""งบพรบ!FT64"")"),0)</f>
        <v>0</v>
      </c>
      <c r="M410" s="93">
        <f ca="1">IFERROR(__xludf.DUMMYFUNCTION("IMPORTRANGE(""https://docs.google.com/spreadsheets/d/1MeEWN-I1oV_STSDYn1IFDPWt_1FKiwhDph83XaGc0o0/edit?usp=sharing"",""งบพรบ!FW64"")"),0)</f>
        <v>0</v>
      </c>
      <c r="N410" s="93">
        <f ca="1">IFERROR(__xludf.DUMMYFUNCTION("IMPORTRANGE(""https://docs.google.com/spreadsheets/d/1MeEWN-I1oV_STSDYn1IFDPWt_1FKiwhDph83XaGc0o0/edit?usp=sharing"",""งบพรบ!FY64"")"),0)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486800</v>
      </c>
      <c r="M414" s="549">
        <f t="shared" ca="1" si="180"/>
        <v>486800</v>
      </c>
      <c r="N414" s="549">
        <f t="shared" si="180"/>
        <v>361908.43</v>
      </c>
      <c r="O414" s="549">
        <f ca="1">IF(L414&gt;0,N414*100/L414,0)</f>
        <v>74.34437756778965</v>
      </c>
      <c r="P414" s="549">
        <f ca="1">IF(M414&gt;0,N414*100/M414,0)</f>
        <v>74.34437756778965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60</v>
      </c>
      <c r="J417" s="565">
        <f t="shared" ca="1" si="181"/>
        <v>60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2</v>
      </c>
      <c r="J418" s="565">
        <f t="shared" si="181"/>
        <v>2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205300</v>
      </c>
      <c r="M419" s="155">
        <f t="shared" ca="1" si="183"/>
        <v>205300</v>
      </c>
      <c r="N419" s="155">
        <f t="shared" si="183"/>
        <v>204065</v>
      </c>
      <c r="O419" s="155">
        <f t="shared" ref="O419:O424" ca="1" si="184">IF(L419&gt;0,N419*100/L419,0)</f>
        <v>99.39844130540672</v>
      </c>
      <c r="P419" s="155">
        <f t="shared" ref="P419:P424" ca="1" si="185">IF(M419&gt;0,N419*100/M419,0)</f>
        <v>99.39844130540672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205300</v>
      </c>
      <c r="M421" s="93">
        <f t="shared" ca="1" si="186"/>
        <v>205300</v>
      </c>
      <c r="N421" s="93">
        <f t="shared" si="186"/>
        <v>204065</v>
      </c>
      <c r="O421" s="93">
        <f t="shared" ca="1" si="184"/>
        <v>99.39844130540672</v>
      </c>
      <c r="P421" s="93">
        <f t="shared" ca="1" si="185"/>
        <v>99.39844130540672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205300</v>
      </c>
      <c r="M422" s="497">
        <f t="shared" ca="1" si="187"/>
        <v>205300</v>
      </c>
      <c r="N422" s="497">
        <f t="shared" si="187"/>
        <v>204065</v>
      </c>
      <c r="O422" s="497">
        <f t="shared" ca="1" si="184"/>
        <v>99.39844130540672</v>
      </c>
      <c r="P422" s="497">
        <f t="shared" ca="1" si="185"/>
        <v>99.39844130540672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IFERROR(__xludf.DUMMYFUNCTION("IMPORTRANGE(""https://docs.google.com/spreadsheets/d/1QqKyyYR6Q21VydFLVH3TRQUabQu_ym0Zz7PgGX0-kHA/edit?usp=sharing"",""แผน!EY64"")"),205300)</f>
        <v>205300</v>
      </c>
      <c r="M424" s="93">
        <f ca="1">L424</f>
        <v>205300</v>
      </c>
      <c r="N424" s="93">
        <f>N425+N426+N427+N428</f>
        <v>204065</v>
      </c>
      <c r="O424" s="93">
        <f t="shared" ca="1" si="184"/>
        <v>99.39844130540672</v>
      </c>
      <c r="P424" s="93">
        <f t="shared" ca="1" si="185"/>
        <v>99.39844130540672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180800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23265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IFERROR(__xludf.DUMMYFUNCTION("IMPORTRANGE(""https://docs.google.com/spreadsheets/d/1QqKyyYR6Q21VydFLVH3TRQUabQu_ym0Zz7PgGX0-kHA/edit?usp=sharing"",""แผน!FB64"")"),0)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2</v>
      </c>
      <c r="J434" s="676">
        <f t="shared" si="192"/>
        <v>2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IFERROR(__xludf.DUMMYFUNCTION("IMPORTRANGE(""https://docs.google.com/spreadsheets/d/1QqKyyYR6Q21VydFLVH3TRQUabQu_ym0Zz7PgGX0-kHA/edit?usp=sharing"",""แผน!FC64"")"),60)</f>
        <v>60</v>
      </c>
      <c r="J435" s="579">
        <v>60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IFERROR(__xludf.DUMMYFUNCTION("IMPORTRANGE(""https://docs.google.com/spreadsheets/d/1QqKyyYR6Q21VydFLVH3TRQUabQu_ym0Zz7PgGX0-kHA/edit?usp=sharing"",""แผน!FD64"")"),40)</f>
        <v>40</v>
      </c>
      <c r="J437" s="579">
        <v>40</v>
      </c>
      <c r="K437" s="497">
        <f t="shared" ref="K437:K443" ca="1" si="193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IFERROR(__xludf.DUMMYFUNCTION("IMPORTRANGE(""https://docs.google.com/spreadsheets/d/1QqKyyYR6Q21VydFLVH3TRQUabQu_ym0Zz7PgGX0-kHA/edit?usp=sharing"",""แผน!FE64"")"),1)</f>
        <v>1</v>
      </c>
      <c r="J438" s="215">
        <v>1</v>
      </c>
      <c r="K438" s="497">
        <f t="shared" ca="1" si="193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IFERROR(__xludf.DUMMYFUNCTION("IMPORTRANGE(""https://docs.google.com/spreadsheets/d/1QqKyyYR6Q21VydFLVH3TRQUabQu_ym0Zz7PgGX0-kHA/edit?usp=sharing"",""แผน!FF64"")"),20)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IFERROR(__xludf.DUMMYFUNCTION("IMPORTRANGE(""https://docs.google.com/spreadsheets/d/1QqKyyYR6Q21VydFLVH3TRQUabQu_ym0Zz7PgGX0-kHA/edit?usp=sharing"",""แผน!FG64"")"),1)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IFERROR(__xludf.DUMMYFUNCTION("IMPORTRANGE(""https://docs.google.com/spreadsheets/d/1QqKyyYR6Q21VydFLVH3TRQUabQu_ym0Zz7PgGX0-kHA/edit?usp=sharing"",""แผน!FH64"")"),0)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IFERROR(__xludf.DUMMYFUNCTION("IMPORTRANGE(""https://docs.google.com/spreadsheets/d/1QqKyyYR6Q21VydFLVH3TRQUabQu_ym0Zz7PgGX0-kHA/edit?usp=sharing"",""แผน!FJ64"")"),0)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IFERROR(__xludf.DUMMYFUNCTION("IMPORTRANGE(""https://docs.google.com/spreadsheets/d/1QqKyyYR6Q21VydFLVH3TRQUabQu_ym0Zz7PgGX0-kHA/edit?usp=sharing"",""แผน!FM64"")"),0)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IFERROR(__xludf.DUMMYFUNCTION("IMPORTRANGE(""https://docs.google.com/spreadsheets/d/1QqKyyYR6Q21VydFLVH3TRQUabQu_ym0Zz7PgGX0-kHA/edit?usp=sharing"",""แผน!FX64"")"),0)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IFERROR(__xludf.DUMMYFUNCTION("IMPORTRANGE(""https://docs.google.com/spreadsheets/d/1QqKyyYR6Q21VydFLVH3TRQUabQu_ym0Zz7PgGX0-kHA/edit?usp=sharing"",""แผน!FW64"")"),0)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IFERROR(__xludf.DUMMYFUNCTION("IMPORTRANGE(""https://docs.google.com/spreadsheets/d/1QqKyyYR6Q21VydFLVH3TRQUabQu_ym0Zz7PgGX0-kHA/edit?usp=sharing"",""แผน!FS64"")"),0)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IFERROR(__xludf.DUMMYFUNCTION("IMPORTRANGE(""https://docs.google.com/spreadsheets/d/1QqKyyYR6Q21VydFLVH3TRQUabQu_ym0Zz7PgGX0-kHA/edit?usp=sharing"",""แผน!FV64"")"),0)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IFERROR(__xludf.DUMMYFUNCTION("IMPORTRANGE(""https://docs.google.com/spreadsheets/d/1QqKyyYR6Q21VydFLVH3TRQUabQu_ym0Zz7PgGX0-kHA/edit?usp=sharing"",""แผน!FY64"")"),0)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IFERROR(__xludf.DUMMYFUNCTION("IMPORTRANGE(""https://docs.google.com/spreadsheets/d/1QqKyyYR6Q21VydFLVH3TRQUabQu_ym0Zz7PgGX0-kHA/edit?usp=sharing"",""แผน!FZ64"")"),0)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IFERROR(__xludf.DUMMYFUNCTION("IMPORTRANGE(""https://docs.google.com/spreadsheets/d/1QqKyyYR6Q21VydFLVH3TRQUabQu_ym0Zz7PgGX0-kHA/edit?usp=sharing"",""แผน!GA64"")"),0)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IFERROR(__xludf.DUMMYFUNCTION("IMPORTRANGE(""https://docs.google.com/spreadsheets/d/1QqKyyYR6Q21VydFLVH3TRQUabQu_ym0Zz7PgGX0-kHA/edit?usp=sharing"",""แผน!GB64"")"),0)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IFERROR(__xludf.DUMMYFUNCTION("IMPORTRANGE(""https://docs.google.com/spreadsheets/d/1QqKyyYR6Q21VydFLVH3TRQUabQu_ym0Zz7PgGX0-kHA/edit?usp=sharing"",""แผน!GC64"")"),0)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IFERROR(__xludf.DUMMYFUNCTION("IMPORTRANGE(""https://docs.google.com/spreadsheets/d/1QqKyyYR6Q21VydFLVH3TRQUabQu_ym0Zz7PgGX0-kHA/edit?usp=sharing"",""แผน!FY64"")"),0)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IFERROR(__xludf.DUMMYFUNCTION("IMPORTRANGE(""https://docs.google.com/spreadsheets/d/1QqKyyYR6Q21VydFLVH3TRQUabQu_ym0Zz7PgGX0-kHA/edit?usp=sharing"",""แผน!GA64"")"),0)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IFERROR(__xludf.DUMMYFUNCTION("IMPORTRANGE(""https://docs.google.com/spreadsheets/d/1QqKyyYR6Q21VydFLVH3TRQUabQu_ym0Zz7PgGX0-kHA/edit?usp=sharing"",""แผน!GQ64"")"),0)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IFERROR(__xludf.DUMMYFUNCTION("IMPORTRANGE(""https://docs.google.com/spreadsheets/d/1QqKyyYR6Q21VydFLVH3TRQUabQu_ym0Zz7PgGX0-kHA/edit?usp=sharing"",""แผน!GT64"")"),0)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IFERROR(__xludf.DUMMYFUNCTION("IMPORTRANGE(""https://docs.google.com/spreadsheets/d/1QqKyyYR6Q21VydFLVH3TRQUabQu_ym0Zz7PgGX0-kHA/edit?usp=sharing"",""แผน!GU64"")"),0)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IFERROR(__xludf.DUMMYFUNCTION("IMPORTRANGE(""https://docs.google.com/spreadsheets/d/1QqKyyYR6Q21VydFLVH3TRQUabQu_ym0Zz7PgGX0-kHA/edit?usp=sharing"",""แผน!GV64"")"),0)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IFERROR(__xludf.DUMMYFUNCTION("IMPORTRANGE(""https://docs.google.com/spreadsheets/d/1QqKyyYR6Q21VydFLVH3TRQUabQu_ym0Zz7PgGX0-kHA/edit?usp=sharing"",""แผน!GW64"")"),0)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IFERROR(__xludf.DUMMYFUNCTION("IMPORTRANGE(""https://docs.google.com/spreadsheets/d/1QqKyyYR6Q21VydFLVH3TRQUabQu_ym0Zz7PgGX0-kHA/edit?usp=sharing"",""แผน!GX64"")"),0)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IFERROR(__xludf.DUMMYFUNCTION("IMPORTRANGE(""https://docs.google.com/spreadsheets/d/1QqKyyYR6Q21VydFLVH3TRQUabQu_ym0Zz7PgGX0-kHA/edit?usp=sharing"",""แผน!GY64"")"),0)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IFERROR(__xludf.DUMMYFUNCTION("IMPORTRANGE(""https://docs.google.com/spreadsheets/d/1QqKyyYR6Q21VydFLVH3TRQUabQu_ym0Zz7PgGX0-kHA/edit?usp=sharing"",""แผน!GZ64"")"),0)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219200</v>
      </c>
      <c r="M544" s="155">
        <f t="shared" ca="1" si="235"/>
        <v>219200</v>
      </c>
      <c r="N544" s="155">
        <f t="shared" si="235"/>
        <v>150165.23000000001</v>
      </c>
      <c r="O544" s="155">
        <f t="shared" ref="O544:O549" ca="1" si="236">IF(L544&gt;0,N544*100/L544,0)</f>
        <v>68.50603558394161</v>
      </c>
      <c r="P544" s="155">
        <f t="shared" ref="P544:P549" ca="1" si="237">IF(M544&gt;0,N544*100/M544,0)</f>
        <v>68.50603558394161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219200</v>
      </c>
      <c r="M546" s="93">
        <f t="shared" ca="1" si="239"/>
        <v>219200</v>
      </c>
      <c r="N546" s="93">
        <f t="shared" si="239"/>
        <v>150165.23000000001</v>
      </c>
      <c r="O546" s="93">
        <f t="shared" ca="1" si="236"/>
        <v>68.50603558394161</v>
      </c>
      <c r="P546" s="93">
        <f t="shared" ca="1" si="237"/>
        <v>68.50603558394161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219200</v>
      </c>
      <c r="M547" s="497">
        <f t="shared" ca="1" si="240"/>
        <v>219200</v>
      </c>
      <c r="N547" s="497">
        <f t="shared" si="240"/>
        <v>150165.23000000001</v>
      </c>
      <c r="O547" s="497">
        <f t="shared" ca="1" si="236"/>
        <v>68.50603558394161</v>
      </c>
      <c r="P547" s="497">
        <f t="shared" ca="1" si="237"/>
        <v>68.50603558394161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IFERROR(__xludf.DUMMYFUNCTION("IMPORTRANGE(""https://docs.google.com/spreadsheets/d/1QqKyyYR6Q21VydFLVH3TRQUabQu_ym0Zz7PgGX0-kHA/edit?usp=sharing"",""แผน!HB64"")"),219200)</f>
        <v>219200</v>
      </c>
      <c r="M549" s="93">
        <f ca="1">L549</f>
        <v>219200</v>
      </c>
      <c r="N549" s="93">
        <f>N550+N551+N552+N553+N554</f>
        <v>150165.23000000001</v>
      </c>
      <c r="O549" s="93">
        <f t="shared" ca="1" si="236"/>
        <v>68.50603558394161</v>
      </c>
      <c r="P549" s="93">
        <f t="shared" ca="1" si="237"/>
        <v>68.50603558394161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87533.33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62631.9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IFERROR(__xludf.DUMMYFUNCTION("IMPORTRANGE(""https://docs.google.com/spreadsheets/d/1QqKyyYR6Q21VydFLVH3TRQUabQu_ym0Zz7PgGX0-kHA/edit?usp=sharing"",""แผน!HF64"")"),0)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IFERROR(__xludf.DUMMYFUNCTION("IMPORTRANGE(""https://docs.google.com/spreadsheets/d/1QqKyyYR6Q21VydFLVH3TRQUabQu_ym0Zz7PgGX0-kHA/edit?usp=sharing"",""แผน!HH64"")"),0)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IFERROR(__xludf.DUMMYFUNCTION("IMPORTRANGE(""https://docs.google.com/spreadsheets/d/1QqKyyYR6Q21VydFLVH3TRQUabQu_ym0Zz7PgGX0-kHA/edit?usp=sharing"",""แผน!HG64"")"),0)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IFERROR(__xludf.DUMMYFUNCTION("IMPORTRANGE(""https://docs.google.com/spreadsheets/d/1QqKyyYR6Q21VydFLVH3TRQUabQu_ym0Zz7PgGX0-kHA/edit?usp=sharing"",""แผน!HH64"")"),0)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IFERROR(__xludf.DUMMYFUNCTION("IMPORTRANGE(""https://docs.google.com/spreadsheets/d/1QqKyyYR6Q21VydFLVH3TRQUabQu_ym0Zz7PgGX0-kHA/edit?usp=sharing"",""แผน!HG64"")"),0)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IFERROR(__xludf.DUMMYFUNCTION("IMPORTRANGE(""https://docs.google.com/spreadsheets/d/1QqKyyYR6Q21VydFLVH3TRQUabQu_ym0Zz7PgGX0-kHA/edit?usp=sharing"",""แผน!HH64"")"),0)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IFERROR(__xludf.DUMMYFUNCTION("IMPORTRANGE(""https://docs.google.com/spreadsheets/d/1QqKyyYR6Q21VydFLVH3TRQUabQu_ym0Zz7PgGX0-kHA/edit?usp=sharing"",""แผน!HG64"")"),0)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92.73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IFERROR(__xludf.DUMMYFUNCTION("IMPORTRANGE(""https://docs.google.com/spreadsheets/d/1QqKyyYR6Q21VydFLVH3TRQUabQu_ym0Zz7PgGX0-kHA/edit?usp=sharing"",""แผน!HJ64"")"),92.73)</f>
        <v>92.73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IFERROR(__xludf.DUMMYFUNCTION("IMPORTRANGE(""https://docs.google.com/spreadsheets/d/1QqKyyYR6Q21VydFLVH3TRQUabQu_ym0Zz7PgGX0-kHA/edit?usp=sharing"",""แผน!HI64"")"),24)</f>
        <v>24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IFERROR(__xludf.DUMMYFUNCTION("IMPORTRANGE(""https://docs.google.com/spreadsheets/d/1QqKyyYR6Q21VydFLVH3TRQUabQu_ym0Zz7PgGX0-kHA/edit?usp=sharing"",""แผน!HL64"")"),0)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IFERROR(__xludf.DUMMYFUNCTION("IMPORTRANGE(""https://docs.google.com/spreadsheets/d/1QqKyyYR6Q21VydFLVH3TRQUabQu_ym0Zz7PgGX0-kHA/edit?usp=sharing"",""แผน!HK64"")"),0)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IFERROR(__xludf.DUMMYFUNCTION("IMPORTRANGE(""https://docs.google.com/spreadsheets/d/1QqKyyYR6Q21VydFLVH3TRQUabQu_ym0Zz7PgGX0-kHA/edit?usp=sharing"",""แผน!HN64"")"),0)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IFERROR(__xludf.DUMMYFUNCTION("IMPORTRANGE(""https://docs.google.com/spreadsheets/d/1QqKyyYR6Q21VydFLVH3TRQUabQu_ym0Zz7PgGX0-kHA/edit?usp=sharing"",""แผน!HQ64"")"),0)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IFERROR(__xludf.DUMMYFUNCTION("IMPORTRANGE(""https://docs.google.com/spreadsheets/d/1QqKyyYR6Q21VydFLVH3TRQUabQu_ym0Zz7PgGX0-kHA/edit?usp=sharing"",""แผน!HR64"")"),0)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IFERROR(__xludf.DUMMYFUNCTION("IMPORTRANGE(""https://docs.google.com/spreadsheets/d/1QqKyyYR6Q21VydFLVH3TRQUabQu_ym0Zz7PgGX0-kHA/edit?usp=sharing"",""แผน!HR64"")"),0)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IFERROR(__xludf.DUMMYFUNCTION("IMPORTRANGE(""https://docs.google.com/spreadsheets/d/1XWAQStnk-4SwqDmLtmXYiTMKHgktTP8We1SCoS47DrQ/edit?usp=sharing"",""จัดที่ดิน!AS64"")"),0)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IFERROR(__xludf.DUMMYFUNCTION("IMPORTRANGE(""https://docs.google.com/spreadsheets/d/1XWAQStnk-4SwqDmLtmXYiTMKHgktTP8We1SCoS47DrQ/edit?usp=sharing"",""จัดที่ดิน!AT64"")"),0)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IFERROR(__xludf.DUMMYFUNCTION("IMPORTRANGE(""https://docs.google.com/spreadsheets/d/1QqKyyYR6Q21VydFLVH3TRQUabQu_ym0Zz7PgGX0-kHA/edit?usp=sharing"",""แผน!HS64"")"),0)</f>
        <v>0</v>
      </c>
      <c r="J647" s="270">
        <f ca="1">IFERROR(__xludf.DUMMYFUNCTION("IMPORTRANGE(""https://docs.google.com/spreadsheets/d/1XWAQStnk-4SwqDmLtmXYiTMKHgktTP8We1SCoS47DrQ/edit?usp=sharing"",""จัดที่ดิน!AU64"")"),0)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IFERROR(__xludf.DUMMYFUNCTION("IMPORTRANGE(""https://docs.google.com/spreadsheets/d/1XWAQStnk-4SwqDmLtmXYiTMKHgktTP8We1SCoS47DrQ/edit?usp=sharing"",""จัดที่ดิน!AV64"")"),0)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IFERROR(__xludf.DUMMYFUNCTION("IMPORTRANGE(""https://docs.google.com/spreadsheets/d/1QqKyyYR6Q21VydFLVH3TRQUabQu_ym0Zz7PgGX0-kHA/edit?usp=sharing"",""แผน!HS64"")"),0)</f>
        <v>0</v>
      </c>
      <c r="J649" s="270">
        <f ca="1">IFERROR(__xludf.DUMMYFUNCTION("IMPORTRANGE(""https://docs.google.com/spreadsheets/d/1XWAQStnk-4SwqDmLtmXYiTMKHgktTP8We1SCoS47DrQ/edit?usp=sharing"",""จัดที่ดิน!AW64"")"),0)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IFERROR(__xludf.DUMMYFUNCTION("IMPORTRANGE(""https://docs.google.com/spreadsheets/d/1XWAQStnk-4SwqDmLtmXYiTMKHgktTP8We1SCoS47DrQ/edit?usp=sharing"",""จัดที่ดิน!AX64"")"),0)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IFERROR(__xludf.DUMMYFUNCTION("IMPORTRANGE(""https://docs.google.com/spreadsheets/d/1QqKyyYR6Q21VydFLVH3TRQUabQu_ym0Zz7PgGX0-kHA/edit?usp=sharing"",""แผน!HS64"")"),0)</f>
        <v>0</v>
      </c>
      <c r="J651" s="270">
        <f ca="1">IFERROR(__xludf.DUMMYFUNCTION("IMPORTRANGE(""https://docs.google.com/spreadsheets/d/1XWAQStnk-4SwqDmLtmXYiTMKHgktTP8We1SCoS47DrQ/edit?usp=sharing"",""จัดที่ดิน!AY64"")"),0)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IFERROR(__xludf.DUMMYFUNCTION("IMPORTRANGE(""https://docs.google.com/spreadsheets/d/1XWAQStnk-4SwqDmLtmXYiTMKHgktTP8We1SCoS47DrQ/edit?usp=sharing"",""จัดที่ดิน!AZ64"")"),0)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185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20700</v>
      </c>
      <c r="M655" s="195">
        <f t="shared" ca="1" si="272"/>
        <v>20700</v>
      </c>
      <c r="N655" s="195">
        <f t="shared" si="272"/>
        <v>4033.2</v>
      </c>
      <c r="O655" s="195">
        <f t="shared" ref="O655:O660" ca="1" si="273">IF(L655&gt;0,N655*100/L655,0)</f>
        <v>19.484057971014494</v>
      </c>
      <c r="P655" s="195">
        <f t="shared" ref="P655:P660" ca="1" si="274">IF(M655&gt;0,N655*100/M655,0)</f>
        <v>19.484057971014494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20700</v>
      </c>
      <c r="M657" s="93">
        <f t="shared" ca="1" si="275"/>
        <v>20700</v>
      </c>
      <c r="N657" s="93">
        <f t="shared" si="275"/>
        <v>4033.2</v>
      </c>
      <c r="O657" s="93">
        <f t="shared" ca="1" si="273"/>
        <v>19.484057971014494</v>
      </c>
      <c r="P657" s="93">
        <f t="shared" ca="1" si="274"/>
        <v>19.484057971014494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20700</v>
      </c>
      <c r="M658" s="497">
        <f t="shared" ca="1" si="276"/>
        <v>20700</v>
      </c>
      <c r="N658" s="497">
        <f t="shared" si="276"/>
        <v>4033.2</v>
      </c>
      <c r="O658" s="497">
        <f t="shared" ca="1" si="273"/>
        <v>19.484057971014494</v>
      </c>
      <c r="P658" s="497">
        <f t="shared" ca="1" si="274"/>
        <v>19.484057971014494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IFERROR(__xludf.DUMMYFUNCTION("IMPORTRANGE(""https://docs.google.com/spreadsheets/d/1QqKyyYR6Q21VydFLVH3TRQUabQu_ym0Zz7PgGX0-kHA/edit?usp=sharing"",""แผน!HV64"")"),20700)</f>
        <v>20700</v>
      </c>
      <c r="M660" s="93">
        <f ca="1">L660</f>
        <v>20700</v>
      </c>
      <c r="N660" s="93">
        <f>N661+N662+N663+N664</f>
        <v>4033.2</v>
      </c>
      <c r="O660" s="93">
        <f t="shared" ca="1" si="273"/>
        <v>19.484057971014494</v>
      </c>
      <c r="P660" s="93">
        <f t="shared" ca="1" si="274"/>
        <v>19.484057971014494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4033.2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IFERROR(__xludf.DUMMYFUNCTION("IMPORTRANGE(""https://docs.google.com/spreadsheets/d/1QqKyyYR6Q21VydFLVH3TRQUabQu_ym0Zz7PgGX0-kHA/edit?usp=sharing"",""แผน!IA64"")"),185)</f>
        <v>185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224</v>
      </c>
      <c r="K672" s="497">
        <f t="shared" ref="K672:K675" ca="1" si="280">IF(I$669&gt;0,J672*100/I$669,0)</f>
        <v>121.08108108108108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224</v>
      </c>
      <c r="K673" s="497">
        <f t="shared" ca="1" si="280"/>
        <v>121.08108108108108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IFERROR(__xludf.DUMMYFUNCTION("IMPORTRANGE(""https://docs.google.com/spreadsheets/d/1QqKyyYR6Q21VydFLVH3TRQUabQu_ym0Zz7PgGX0-kHA/edit?usp=sharing"",""แผน!IB64"")"),0)</f>
        <v>0</v>
      </c>
      <c r="J678" s="676">
        <f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136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136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41600</v>
      </c>
      <c r="M685" s="195">
        <f t="shared" ca="1" si="281"/>
        <v>41600</v>
      </c>
      <c r="N685" s="195">
        <f t="shared" si="281"/>
        <v>3645</v>
      </c>
      <c r="O685" s="195">
        <f t="shared" ref="O685:O688" ca="1" si="282">IF(L685&gt;0,N685*100/L685,0)</f>
        <v>8.7620192307692299</v>
      </c>
      <c r="P685" s="195">
        <f t="shared" ref="P685:P688" ca="1" si="283">IF(M685&gt;0,N685*100/M685,0)</f>
        <v>8.7620192307692299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41600</v>
      </c>
      <c r="M687" s="93">
        <f t="shared" ca="1" si="284"/>
        <v>41600</v>
      </c>
      <c r="N687" s="93">
        <f t="shared" si="284"/>
        <v>3645</v>
      </c>
      <c r="O687" s="93">
        <f t="shared" ca="1" si="282"/>
        <v>8.7620192307692299</v>
      </c>
      <c r="P687" s="93">
        <f t="shared" ca="1" si="283"/>
        <v>8.7620192307692299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41600</v>
      </c>
      <c r="M688" s="497">
        <f t="shared" ca="1" si="285"/>
        <v>41600</v>
      </c>
      <c r="N688" s="497">
        <f t="shared" si="285"/>
        <v>3645</v>
      </c>
      <c r="O688" s="497">
        <f t="shared" ca="1" si="282"/>
        <v>8.7620192307692299</v>
      </c>
      <c r="P688" s="497">
        <f t="shared" ca="1" si="283"/>
        <v>8.7620192307692299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IFERROR(__xludf.DUMMYFUNCTION("IMPORTRANGE(""https://docs.google.com/spreadsheets/d/1QqKyyYR6Q21VydFLVH3TRQUabQu_ym0Zz7PgGX0-kHA/edit?usp=sharing"",""แผน!HW64"")"),41600)</f>
        <v>41600</v>
      </c>
      <c r="M690" s="93">
        <f ca="1">L690</f>
        <v>41600</v>
      </c>
      <c r="N690" s="93">
        <f>N691+N692+N693+N694</f>
        <v>3645</v>
      </c>
      <c r="O690" s="93">
        <f ca="1">IF(L690&gt;0,N690*100/L690,0)</f>
        <v>8.7620192307692299</v>
      </c>
      <c r="P690" s="93">
        <f ca="1">IF(M690&gt;0,N690*100/M690,0)</f>
        <v>8.7620192307692299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3645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IFERROR(__xludf.DUMMYFUNCTION("IMPORTRANGE(""https://docs.google.com/spreadsheets/d/1QqKyyYR6Q21VydFLVH3TRQUabQu_ym0Zz7PgGX0-kHA/edit?usp=sharing"",""แผน!IC64"")"),0)</f>
        <v>0</v>
      </c>
      <c r="J699" s="270">
        <f ca="1">IFERROR(__xludf.DUMMYFUNCTION("IMPORTRANGE(""https://docs.google.com/spreadsheets/d/1XWAQStnk-4SwqDmLtmXYiTMKHgktTP8We1SCoS47DrQ/edit?usp=sharing"",""จัดที่ดิน!BB64"")"),0)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IFERROR(__xludf.DUMMYFUNCTION("IMPORTRANGE(""https://docs.google.com/spreadsheets/d/1QqKyyYR6Q21VydFLVH3TRQUabQu_ym0Zz7PgGX0-kHA/edit?usp=sharing"",""แผน!ID64"")"),45)</f>
        <v>45</v>
      </c>
      <c r="J700" s="270">
        <f ca="1">IFERROR(__xludf.DUMMYFUNCTION("IMPORTRANGE(""https://docs.google.com/spreadsheets/d/1XWAQStnk-4SwqDmLtmXYiTMKHgktTP8We1SCoS47DrQ/edit?usp=sharing"",""จัดที่ดิน!BD64"")"),0)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IFERROR(__xludf.DUMMYFUNCTION("IMPORTRANGE(""https://docs.google.com/spreadsheets/d/1QqKyyYR6Q21VydFLVH3TRQUabQu_ym0Zz7PgGX0-kHA/edit?usp=sharing"",""แผน!IE64"")"),0)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IFERROR(__xludf.DUMMYFUNCTION("IMPORTRANGE(""https://docs.google.com/spreadsheets/d/1QqKyyYR6Q21VydFLVH3TRQUabQu_ym0Zz7PgGX0-kHA/edit?usp=sharing"",""แผน!IH64"")"),25)</f>
        <v>25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IFERROR(__xludf.DUMMYFUNCTION("IMPORTRANGE(""https://docs.google.com/spreadsheets/d/1QqKyyYR6Q21VydFLVH3TRQUabQu_ym0Zz7PgGX0-kHA/edit?usp=sharing"",""แผน!II64"")"),400)</f>
        <v>400</v>
      </c>
      <c r="J720" s="270">
        <f ca="1">IFERROR(__xludf.DUMMYFUNCTION("IMPORTRANGE(""https://docs.google.com/spreadsheets/d/1XWAQStnk-4SwqDmLtmXYiTMKHgktTP8We1SCoS47DrQ/edit?usp=sharing"",""จัดที่ดิน!BH64"")"),0)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IFERROR(__xludf.DUMMYFUNCTION("IMPORTRANGE(""https://docs.google.com/spreadsheets/d/1QqKyyYR6Q21VydFLVH3TRQUabQu_ym0Zz7PgGX0-kHA/edit?usp=sharing"",""แผน!IJ64"")"),35)</f>
        <v>35</v>
      </c>
      <c r="J721" s="676">
        <f ca="1">J723+J726</f>
        <v>21</v>
      </c>
      <c r="K721" s="195">
        <f t="shared" ca="1" si="290"/>
        <v>60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IFERROR(__xludf.DUMMYFUNCTION("IMPORTRANGE(""https://docs.google.com/spreadsheets/d/1QqKyyYR6Q21VydFLVH3TRQUabQu_ym0Zz7PgGX0-kHA/edit?usp=sharing"",""แผน!IK64"")"),386)</f>
        <v>386</v>
      </c>
      <c r="J722" s="676">
        <f ca="1">J725+J728</f>
        <v>244.37</v>
      </c>
      <c r="K722" s="195">
        <f t="shared" ca="1" si="290"/>
        <v>63.308290155440417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IFERROR(__xludf.DUMMYFUNCTION("IMPORTRANGE(""https://docs.google.com/spreadsheets/d/1QqKyyYR6Q21VydFLVH3TRQUabQu_ym0Zz7PgGX0-kHA/edit?usp=sharing"",""แผน!IL64"")"),35)</f>
        <v>35</v>
      </c>
      <c r="J723" s="270">
        <f ca="1">IFERROR(__xludf.DUMMYFUNCTION("IMPORTRANGE(""https://docs.google.com/spreadsheets/d/1XWAQStnk-4SwqDmLtmXYiTMKHgktTP8We1SCoS47DrQ/edit?usp=sharing"",""จัดที่ดิน!BM64"")"),21)</f>
        <v>21</v>
      </c>
      <c r="K723" s="497">
        <f t="shared" ca="1" si="290"/>
        <v>60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IFERROR(__xludf.DUMMYFUNCTION("IMPORTRANGE(""https://docs.google.com/spreadsheets/d/1XWAQStnk-4SwqDmLtmXYiTMKHgktTP8We1SCoS47DrQ/edit?usp=sharing"",""จัดที่ดิน!BN64"")"),23)</f>
        <v>23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IFERROR(__xludf.DUMMYFUNCTION("IMPORTRANGE(""https://docs.google.com/spreadsheets/d/1QqKyyYR6Q21VydFLVH3TRQUabQu_ym0Zz7PgGX0-kHA/edit?usp=sharing"",""แผน!IM64"")"),386)</f>
        <v>386</v>
      </c>
      <c r="J725" s="270">
        <f ca="1">IFERROR(__xludf.DUMMYFUNCTION("IMPORTRANGE(""https://docs.google.com/spreadsheets/d/1XWAQStnk-4SwqDmLtmXYiTMKHgktTP8We1SCoS47DrQ/edit?usp=sharing"",""จัดที่ดิน!BO64"")"),244.37)</f>
        <v>244.37</v>
      </c>
      <c r="K725" s="497">
        <f t="shared" ref="K725:K726" ca="1" si="291">IF(I725&gt;0,J725*100/I725,0)</f>
        <v>63.308290155440417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IFERROR(__xludf.DUMMYFUNCTION("IMPORTRANGE(""https://docs.google.com/spreadsheets/d/1QqKyyYR6Q21VydFLVH3TRQUabQu_ym0Zz7PgGX0-kHA/edit?usp=sharing"",""แผน!IN64"")"),0)</f>
        <v>0</v>
      </c>
      <c r="J726" s="270">
        <f ca="1">IFERROR(__xludf.DUMMYFUNCTION("IMPORTRANGE(""https://docs.google.com/spreadsheets/d/1XWAQStnk-4SwqDmLtmXYiTMKHgktTP8We1SCoS47DrQ/edit?usp=sharing"",""จัดที่ดิน!BR64"")"),0)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IFERROR(__xludf.DUMMYFUNCTION("IMPORTRANGE(""https://docs.google.com/spreadsheets/d/1QqKyyYR6Q21VydFLVH3TRQUabQu_ym0Zz7PgGX0-kHA/edit?usp=sharing"",""แผน!IO64"")"),0)</f>
        <v>0</v>
      </c>
      <c r="J728" s="270">
        <f ca="1">IFERROR(__xludf.DUMMYFUNCTION("IMPORTRANGE(""https://docs.google.com/spreadsheets/d/1XWAQStnk-4SwqDmLtmXYiTMKHgktTP8We1SCoS47DrQ/edit?usp=sharing"",""จัดที่ดิน!BT64"")"),0)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IFERROR(__xludf.DUMMYFUNCTION("IMPORTRANGE(""https://docs.google.com/spreadsheets/d/1QqKyyYR6Q21VydFLVH3TRQUabQu_ym0Zz7PgGX0-kHA/edit?usp=sharing"",""แผน!IP64"")"),185)</f>
        <v>185</v>
      </c>
      <c r="J729" s="676">
        <f>J732+J735</f>
        <v>144</v>
      </c>
      <c r="K729" s="195">
        <f t="shared" ca="1" si="292"/>
        <v>77.837837837837839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4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3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51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9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93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IFERROR(__xludf.DUMMYFUNCTION("IMPORTRANGE(""https://docs.google.com/spreadsheets/d/1QqKyyYR6Q21VydFLVH3TRQUabQu_ym0Zz7PgGX0-kHA/edit?usp=sharing"",""แผน!JJ64"")"),0)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IFERROR(__xludf.DUMMYFUNCTION("IMPORTRANGE(""https://docs.google.com/spreadsheets/d/1QqKyyYR6Q21VydFLVH3TRQUabQu_ym0Zz7PgGX0-kHA/edit?usp=sharing"",""แผน!JN64"")"),0)</f>
        <v>0</v>
      </c>
      <c r="J800" s="184">
        <f ca="1">IFERROR(__xludf.DUMMYFUNCTION("IMPORTRANGE(""https://docs.google.com/spreadsheets/d/1MaWodYyGHDf7siQLGxnXhG4mBNTNIuy296niS2xXulU/edit?usp=sharing"",""RTK!H64"")"),0)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70">
        <f ca="1">IFERROR(__xludf.DUMMYFUNCTION("IMPORTRANGE(""https://docs.google.com/spreadsheets/d/19vJNZY_5yjcGF2XGBMNZRCAIB0Kwfpjp8YEOfu-bneM/edit?usp=sharing"",""งานกองทุน!F64"")"),856158.01)</f>
        <v>856158.01</v>
      </c>
      <c r="K821" s="497">
        <f t="shared" ref="K821:K828" ca="1" si="334">IF(I821&gt;0,J821*100/I821,0)</f>
        <v>41.574384358640692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IFERROR(__xludf.DUMMYFUNCTION("IMPORTRANGE(""https://docs.google.com/spreadsheets/d/19vJNZY_5yjcGF2XGBMNZRCAIB0Kwfpjp8YEOfu-bneM/edit?usp=sharing"",""งานกองทุน!C64"")"),110)</f>
        <v>110</v>
      </c>
      <c r="J822" s="270">
        <f ca="1">IFERROR(__xludf.DUMMYFUNCTION("IMPORTRANGE(""https://docs.google.com/spreadsheets/d/19vJNZY_5yjcGF2XGBMNZRCAIB0Kwfpjp8YEOfu-bneM/edit?usp=sharing"",""งานกองทุน!E64"")"),43)</f>
        <v>43</v>
      </c>
      <c r="K822" s="497">
        <f t="shared" ca="1" si="334"/>
        <v>39.090909090909093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70">
        <f ca="1">IFERROR(__xludf.DUMMYFUNCTION("IMPORTRANGE(""https://docs.google.com/spreadsheets/d/19vJNZY_5yjcGF2XGBMNZRCAIB0Kwfpjp8YEOfu-bneM/edit?usp=sharing"",""งานกองทุน!K64"")"),1679489.58)</f>
        <v>1679489.58</v>
      </c>
      <c r="K823" s="497">
        <f t="shared" ca="1" si="334"/>
        <v>27.643374684287288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IFERROR(__xludf.DUMMYFUNCTION("IMPORTRANGE(""https://docs.google.com/spreadsheets/d/19vJNZY_5yjcGF2XGBMNZRCAIB0Kwfpjp8YEOfu-bneM/edit?usp=sharing"",""งานกองทุน!H64"")"),205)</f>
        <v>205</v>
      </c>
      <c r="J824" s="270">
        <f ca="1">IFERROR(__xludf.DUMMYFUNCTION("IMPORTRANGE(""https://docs.google.com/spreadsheets/d/19vJNZY_5yjcGF2XGBMNZRCAIB0Kwfpjp8YEOfu-bneM/edit?usp=sharing"",""งานกองทุน!J64"")"),100)</f>
        <v>100</v>
      </c>
      <c r="K824" s="497">
        <f t="shared" ca="1" si="334"/>
        <v>48.780487804878049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70">
        <f ca="1">IFERROR(__xludf.DUMMYFUNCTION("IMPORTRANGE(""https://docs.google.com/spreadsheets/d/19vJNZY_5yjcGF2XGBMNZRCAIB0Kwfpjp8YEOfu-bneM/edit?usp=sharing"",""งานกองทุน!P64"")"),568927.79)</f>
        <v>568927.79</v>
      </c>
      <c r="K825" s="497">
        <f t="shared" ca="1" si="334"/>
        <v>39.306658471420278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IFERROR(__xludf.DUMMYFUNCTION("IMPORTRANGE(""https://docs.google.com/spreadsheets/d/19vJNZY_5yjcGF2XGBMNZRCAIB0Kwfpjp8YEOfu-bneM/edit?usp=sharing"",""งานกองทุน!M64"")"),1449)</f>
        <v>1449</v>
      </c>
      <c r="J826" s="270">
        <f ca="1">IFERROR(__xludf.DUMMYFUNCTION("IMPORTRANGE(""https://docs.google.com/spreadsheets/d/19vJNZY_5yjcGF2XGBMNZRCAIB0Kwfpjp8YEOfu-bneM/edit?usp=sharing"",""งานกองทุน!O64"")"),1237)</f>
        <v>1237</v>
      </c>
      <c r="K826" s="497">
        <f t="shared" ca="1" si="334"/>
        <v>85.369220151828841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IFERROR(__xludf.DUMMYFUNCTION("IMPORTRANGE(""https://docs.google.com/spreadsheets/d/19vJNZY_5yjcGF2XGBMNZRCAIB0Kwfpjp8YEOfu-bneM/edit?usp=sharing"",""งานกองทุน!S64"")"),8180000)</f>
        <v>8180000</v>
      </c>
      <c r="J827" s="270">
        <f ca="1">IFERROR(__xludf.DUMMYFUNCTION("IMPORTRANGE(""https://docs.google.com/spreadsheets/d/19vJNZY_5yjcGF2XGBMNZRCAIB0Kwfpjp8YEOfu-bneM/edit?usp=sharing"",""งานกองทุน!U64"")"),4905000)</f>
        <v>4905000</v>
      </c>
      <c r="K827" s="497">
        <f t="shared" ca="1" si="334"/>
        <v>59.963325183374081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IFERROR(__xludf.DUMMYFUNCTION("IMPORTRANGE(""https://docs.google.com/spreadsheets/d/19vJNZY_5yjcGF2XGBMNZRCAIB0Kwfpjp8YEOfu-bneM/edit?usp=sharing"",""งานกองทุน!R64"")"),327)</f>
        <v>327</v>
      </c>
      <c r="J828" s="501">
        <f ca="1">IFERROR(__xludf.DUMMYFUNCTION("IMPORTRANGE(""https://docs.google.com/spreadsheets/d/19vJNZY_5yjcGF2XGBMNZRCAIB0Kwfpjp8YEOfu-bneM/edit?usp=sharing"",""งานกองทุน!T64"")"),109)</f>
        <v>109</v>
      </c>
      <c r="K828" s="502">
        <f t="shared" ca="1" si="334"/>
        <v>33.333333333333336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F0F5-FC9E-4038-A16B-73D694309B1D}">
  <sheetPr codeName="Sheet14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1" width="16.8554687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352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2694723</v>
      </c>
      <c r="M8" s="22">
        <f t="shared" ca="1" si="0"/>
        <v>2784796.2800000003</v>
      </c>
      <c r="N8" s="22">
        <f t="shared" ca="1" si="0"/>
        <v>1996610.3</v>
      </c>
      <c r="O8" s="22">
        <f t="shared" ref="O8:O16" ca="1" si="1">IF(L8&gt;0,N8*100/L8,0)</f>
        <v>74.093340948216195</v>
      </c>
      <c r="P8" s="22">
        <f t="shared" ref="P8:P16" ca="1" si="2">IF(M8&gt;0,N8*100/M8,0)</f>
        <v>71.696817262338485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2694723</v>
      </c>
      <c r="M10" s="30">
        <f t="shared" ca="1" si="3"/>
        <v>2784796.2800000003</v>
      </c>
      <c r="N10" s="30">
        <f t="shared" ca="1" si="3"/>
        <v>1996610.3</v>
      </c>
      <c r="O10" s="30">
        <f t="shared" ca="1" si="1"/>
        <v>74.093340948216195</v>
      </c>
      <c r="P10" s="30">
        <f t="shared" ca="1" si="2"/>
        <v>71.696817262338485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2620823</v>
      </c>
      <c r="M11" s="497">
        <f t="shared" ca="1" si="4"/>
        <v>2710896.2800000003</v>
      </c>
      <c r="N11" s="497">
        <f t="shared" ca="1" si="4"/>
        <v>1922710.3</v>
      </c>
      <c r="O11" s="497">
        <f t="shared" ca="1" si="1"/>
        <v>73.362844419481974</v>
      </c>
      <c r="P11" s="497">
        <f t="shared" ca="1" si="2"/>
        <v>70.925262400669936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2620823</v>
      </c>
      <c r="M13" s="93">
        <f t="shared" ca="1" si="5"/>
        <v>2710896.2800000003</v>
      </c>
      <c r="N13" s="93">
        <f t="shared" ca="1" si="5"/>
        <v>1922710.3</v>
      </c>
      <c r="O13" s="93">
        <f t="shared" ca="1" si="1"/>
        <v>73.362844419481974</v>
      </c>
      <c r="P13" s="93">
        <f t="shared" ca="1" si="2"/>
        <v>70.925262400669936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73900</v>
      </c>
      <c r="M14" s="497">
        <f t="shared" ca="1" si="6"/>
        <v>73900</v>
      </c>
      <c r="N14" s="497">
        <f t="shared" ca="1" si="6"/>
        <v>73900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73900</v>
      </c>
      <c r="M16" s="52">
        <f t="shared" ca="1" si="7"/>
        <v>73900</v>
      </c>
      <c r="N16" s="52">
        <f t="shared" ca="1" si="7"/>
        <v>73900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2195810</v>
      </c>
      <c r="M18" s="22">
        <f t="shared" ca="1" si="8"/>
        <v>2285883.2800000003</v>
      </c>
      <c r="N18" s="22">
        <f t="shared" ca="1" si="8"/>
        <v>1772742.3</v>
      </c>
      <c r="O18" s="22">
        <f t="shared" ref="O18:O26" ca="1" si="9">IF(L18&gt;0,N18*100/L18,0)</f>
        <v>80.732955037093376</v>
      </c>
      <c r="P18" s="22">
        <f t="shared" ref="P18:P26" ca="1" si="10">IF(M18&gt;0,N18*100/M18,0)</f>
        <v>77.551741836967281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2195810</v>
      </c>
      <c r="M20" s="30">
        <f t="shared" ca="1" si="11"/>
        <v>2285883.2800000003</v>
      </c>
      <c r="N20" s="30">
        <f t="shared" ca="1" si="11"/>
        <v>1772742.3</v>
      </c>
      <c r="O20" s="30">
        <f t="shared" ca="1" si="9"/>
        <v>80.732955037093376</v>
      </c>
      <c r="P20" s="30">
        <f t="shared" ca="1" si="10"/>
        <v>77.551741836967281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2121910</v>
      </c>
      <c r="M21" s="497">
        <f t="shared" ca="1" si="12"/>
        <v>2211983.2800000003</v>
      </c>
      <c r="N21" s="497">
        <f t="shared" ca="1" si="12"/>
        <v>1698842.3</v>
      </c>
      <c r="O21" s="497">
        <f t="shared" ca="1" si="9"/>
        <v>80.061939479054246</v>
      </c>
      <c r="P21" s="497">
        <f t="shared" ca="1" si="10"/>
        <v>76.801769496196187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2121910</v>
      </c>
      <c r="M23" s="93">
        <f t="shared" ca="1" si="13"/>
        <v>2211983.2800000003</v>
      </c>
      <c r="N23" s="93">
        <f t="shared" ca="1" si="13"/>
        <v>1698842.3</v>
      </c>
      <c r="O23" s="93">
        <f t="shared" ca="1" si="9"/>
        <v>80.061939479054246</v>
      </c>
      <c r="P23" s="93">
        <f t="shared" ca="1" si="10"/>
        <v>76.801769496196187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73900</v>
      </c>
      <c r="M24" s="497">
        <f t="shared" ca="1" si="14"/>
        <v>73900</v>
      </c>
      <c r="N24" s="497">
        <f t="shared" ca="1" si="14"/>
        <v>73900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73900</v>
      </c>
      <c r="M26" s="52">
        <f t="shared" ca="1" si="15"/>
        <v>73900</v>
      </c>
      <c r="N26" s="52">
        <f t="shared" ca="1" si="15"/>
        <v>73900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498913</v>
      </c>
      <c r="M28" s="22">
        <f t="shared" ca="1" si="16"/>
        <v>498913</v>
      </c>
      <c r="N28" s="22">
        <f t="shared" si="16"/>
        <v>223868</v>
      </c>
      <c r="O28" s="22">
        <f t="shared" ref="O28:O37" ca="1" si="17">IF(L28&gt;0,N28*100/L28,0)</f>
        <v>44.871149879838768</v>
      </c>
      <c r="P28" s="22">
        <f t="shared" ref="P28:P37" ca="1" si="18">IF(M28&gt;0,N28*100/M28,0)</f>
        <v>44.871149879838768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498913</v>
      </c>
      <c r="M30" s="30">
        <f t="shared" ca="1" si="19"/>
        <v>498913</v>
      </c>
      <c r="N30" s="30">
        <f t="shared" si="19"/>
        <v>223868</v>
      </c>
      <c r="O30" s="30">
        <f t="shared" ca="1" si="17"/>
        <v>44.871149879838768</v>
      </c>
      <c r="P30" s="30">
        <f t="shared" ca="1" si="18"/>
        <v>44.871149879838768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498913</v>
      </c>
      <c r="M31" s="497">
        <f t="shared" ca="1" si="20"/>
        <v>498913</v>
      </c>
      <c r="N31" s="497">
        <f t="shared" si="20"/>
        <v>223868</v>
      </c>
      <c r="O31" s="497">
        <f t="shared" ca="1" si="17"/>
        <v>44.871149879838768</v>
      </c>
      <c r="P31" s="497">
        <f t="shared" ca="1" si="18"/>
        <v>44.871149879838768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498913</v>
      </c>
      <c r="M33" s="93">
        <f t="shared" ca="1" si="21"/>
        <v>498913</v>
      </c>
      <c r="N33" s="93">
        <f t="shared" si="21"/>
        <v>223868</v>
      </c>
      <c r="O33" s="93">
        <f t="shared" ca="1" si="17"/>
        <v>44.871149879838768</v>
      </c>
      <c r="P33" s="93">
        <f t="shared" ca="1" si="18"/>
        <v>44.871149879838768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2195810</v>
      </c>
      <c r="M37" s="59">
        <f t="shared" ca="1" si="24"/>
        <v>2285883.2800000003</v>
      </c>
      <c r="N37" s="59">
        <f t="shared" ca="1" si="24"/>
        <v>1772742.3</v>
      </c>
      <c r="O37" s="59">
        <f t="shared" ca="1" si="17"/>
        <v>80.732955037093376</v>
      </c>
      <c r="P37" s="59">
        <f t="shared" ca="1" si="18"/>
        <v>77.551741836967281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355100</v>
      </c>
      <c r="M41" s="85">
        <f t="shared" ca="1" si="25"/>
        <v>369613.28</v>
      </c>
      <c r="N41" s="85">
        <f t="shared" ca="1" si="25"/>
        <v>264380</v>
      </c>
      <c r="O41" s="85">
        <f t="shared" ref="O41:O49" ca="1" si="26">IF(L41&gt;0,N41*100/L41,0)</f>
        <v>74.452266967051528</v>
      </c>
      <c r="P41" s="85">
        <f t="shared" ref="P41:P49" ca="1" si="27">IF(M41&gt;0,N41*100/M41,0)</f>
        <v>71.528815198414947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355100</v>
      </c>
      <c r="M43" s="92">
        <f t="shared" ca="1" si="28"/>
        <v>369613.28</v>
      </c>
      <c r="N43" s="92">
        <f t="shared" ca="1" si="28"/>
        <v>264380</v>
      </c>
      <c r="O43" s="92">
        <f t="shared" ca="1" si="26"/>
        <v>74.452266967051528</v>
      </c>
      <c r="P43" s="92">
        <f t="shared" ca="1" si="27"/>
        <v>71.528815198414947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355100</v>
      </c>
      <c r="M44" s="497">
        <f t="shared" ca="1" si="29"/>
        <v>369613.28</v>
      </c>
      <c r="N44" s="497">
        <f t="shared" ca="1" si="29"/>
        <v>264380</v>
      </c>
      <c r="O44" s="497">
        <f t="shared" ca="1" si="26"/>
        <v>74.452266967051528</v>
      </c>
      <c r="P44" s="497">
        <f t="shared" ca="1" si="27"/>
        <v>71.528815198414947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IFERROR(__xludf.DUMMYFUNCTION("IMPORTRANGE(""https://docs.google.com/spreadsheets/d/1MeEWN-I1oV_STSDYn1IFDPWt_1FKiwhDph83XaGc0o0/edit?usp=sharing"",""งบพรบ!M65"")"),355100)</f>
        <v>355100</v>
      </c>
      <c r="M46" s="93">
        <f ca="1">IFERROR(__xludf.DUMMYFUNCTION("IMPORTRANGE(""https://docs.google.com/spreadsheets/d/1MeEWN-I1oV_STSDYn1IFDPWt_1FKiwhDph83XaGc0o0/edit?usp=sharing"",""งบพรบ!R65"")"),369613.28)</f>
        <v>369613.28</v>
      </c>
      <c r="N46" s="93">
        <f ca="1">IFERROR(__xludf.DUMMYFUNCTION("IMPORTRANGE(""https://docs.google.com/spreadsheets/d/1MeEWN-I1oV_STSDYn1IFDPWt_1FKiwhDph83XaGc0o0/edit?usp=sharing"",""งบพรบ!T65"")"),264380)</f>
        <v>264380</v>
      </c>
      <c r="O46" s="93">
        <f t="shared" ca="1" si="26"/>
        <v>74.452266967051528</v>
      </c>
      <c r="P46" s="93">
        <f t="shared" ca="1" si="27"/>
        <v>71.528815198414947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IFERROR(__xludf.DUMMYFUNCTION("IMPORTRANGE(""https://docs.google.com/spreadsheets/d/1MeEWN-I1oV_STSDYn1IFDPWt_1FKiwhDph83XaGc0o0/edit?usp=sharing"",""งบพรบ!P65"")"),0)</f>
        <v>0</v>
      </c>
      <c r="M49" s="52">
        <f ca="1">IFERROR(__xludf.DUMMYFUNCTION("IMPORTRANGE(""https://docs.google.com/spreadsheets/d/1MeEWN-I1oV_STSDYn1IFDPWt_1FKiwhDph83XaGc0o0/edit?usp=sharing"",""งบพรบ!S65"")"),0)</f>
        <v>0</v>
      </c>
      <c r="N49" s="52">
        <f ca="1">IFERROR(__xludf.DUMMYFUNCTION("IMPORTRANGE(""https://docs.google.com/spreadsheets/d/1MeEWN-I1oV_STSDYn1IFDPWt_1FKiwhDph83XaGc0o0/edit?usp=sharing"",""งบพรบ!U65"")"),0)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714600</v>
      </c>
      <c r="M53" s="116">
        <f t="shared" ca="1" si="31"/>
        <v>771220</v>
      </c>
      <c r="N53" s="116">
        <f t="shared" ca="1" si="31"/>
        <v>628987.16</v>
      </c>
      <c r="O53" s="116">
        <f t="shared" ref="O53:O61" ca="1" si="32">IF(L53&gt;0,N53*100/L53,0)</f>
        <v>88.019473831514134</v>
      </c>
      <c r="P53" s="116">
        <f t="shared" ref="P53:P61" ca="1" si="33">IF(M53&gt;0,N53*100/M53,0)</f>
        <v>81.557423303337572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714600</v>
      </c>
      <c r="M55" s="123">
        <f t="shared" ca="1" si="34"/>
        <v>771220</v>
      </c>
      <c r="N55" s="123">
        <f t="shared" ca="1" si="34"/>
        <v>628987.16</v>
      </c>
      <c r="O55" s="123">
        <f t="shared" ca="1" si="32"/>
        <v>88.019473831514134</v>
      </c>
      <c r="P55" s="123">
        <f t="shared" ca="1" si="33"/>
        <v>81.557423303337572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686700</v>
      </c>
      <c r="M56" s="497">
        <f t="shared" ca="1" si="35"/>
        <v>743320</v>
      </c>
      <c r="N56" s="497">
        <f t="shared" ca="1" si="35"/>
        <v>601087.16</v>
      </c>
      <c r="O56" s="497">
        <f t="shared" ca="1" si="32"/>
        <v>87.532715887578277</v>
      </c>
      <c r="P56" s="497">
        <f t="shared" ca="1" si="33"/>
        <v>80.865193994511117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IFERROR(__xludf.DUMMYFUNCTION("IMPORTRANGE(""https://docs.google.com/spreadsheets/d/1MeEWN-I1oV_STSDYn1IFDPWt_1FKiwhDph83XaGc0o0/edit?usp=sharing"",""งบพรบ!W65"")"),686700)</f>
        <v>686700</v>
      </c>
      <c r="M58" s="93">
        <f ca="1">IFERROR(__xludf.DUMMYFUNCTION("IMPORTRANGE(""https://docs.google.com/spreadsheets/d/1MeEWN-I1oV_STSDYn1IFDPWt_1FKiwhDph83XaGc0o0/edit?usp=sharing"",""งบพรบ!AB65"")"),743320)</f>
        <v>743320</v>
      </c>
      <c r="N58" s="93">
        <f ca="1">IFERROR(__xludf.DUMMYFUNCTION("IMPORTRANGE(""https://docs.google.com/spreadsheets/d/1MeEWN-I1oV_STSDYn1IFDPWt_1FKiwhDph83XaGc0o0/edit?usp=sharing"",""งบพรบ!AD65"")"),601087.16)</f>
        <v>601087.16</v>
      </c>
      <c r="O58" s="93">
        <f t="shared" ca="1" si="32"/>
        <v>87.532715887578277</v>
      </c>
      <c r="P58" s="93">
        <f t="shared" ca="1" si="33"/>
        <v>80.865193994511117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27900</v>
      </c>
      <c r="M59" s="497">
        <f t="shared" ca="1" si="36"/>
        <v>27900</v>
      </c>
      <c r="N59" s="497">
        <f t="shared" ca="1" si="36"/>
        <v>27900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IFERROR(__xludf.DUMMYFUNCTION("IMPORTRANGE(""https://docs.google.com/spreadsheets/d/1MeEWN-I1oV_STSDYn1IFDPWt_1FKiwhDph83XaGc0o0/edit?usp=sharing"",""งบพรบ!Z65"")"),27900)</f>
        <v>27900</v>
      </c>
      <c r="M61" s="52">
        <f ca="1">IFERROR(__xludf.DUMMYFUNCTION("IMPORTRANGE(""https://docs.google.com/spreadsheets/d/1MeEWN-I1oV_STSDYn1IFDPWt_1FKiwhDph83XaGc0o0/edit?usp=sharing"",""งบพรบ!AC65"")"),27900)</f>
        <v>27900</v>
      </c>
      <c r="N61" s="52">
        <f ca="1">IFERROR(__xludf.DUMMYFUNCTION("IMPORTRANGE(""https://docs.google.com/spreadsheets/d/1MeEWN-I1oV_STSDYn1IFDPWt_1FKiwhDph83XaGc0o0/edit?usp=sharing"",""งบพรบ!AE65"")"),27900)</f>
        <v>27900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IFERROR(__xludf.DUMMYFUNCTION("IMPORTRANGE(""https://docs.google.com/spreadsheets/d/1MeEWN-I1oV_STSDYn1IFDPWt_1FKiwhDph83XaGc0o0/edit?usp=sharing"",""งบพรบ!AG65"")"),0)</f>
        <v>0</v>
      </c>
      <c r="M71" s="93">
        <f ca="1">IFERROR(__xludf.DUMMYFUNCTION("IMPORTRANGE(""https://docs.google.com/spreadsheets/d/1MeEWN-I1oV_STSDYn1IFDPWt_1FKiwhDph83XaGc0o0/edit?usp=sharing"",""งบพรบ!AL65"")"),0)</f>
        <v>0</v>
      </c>
      <c r="N71" s="93">
        <f ca="1">IFERROR(__xludf.DUMMYFUNCTION("IMPORTRANGE(""https://docs.google.com/spreadsheets/d/1MeEWN-I1oV_STSDYn1IFDPWt_1FKiwhDph83XaGc0o0/edit?usp=sharing"",""งบพรบ!AN65"")"),0)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IFERROR(__xludf.DUMMYFUNCTION("IMPORTRANGE(""https://docs.google.com/spreadsheets/d/1MeEWN-I1oV_STSDYn1IFDPWt_1FKiwhDph83XaGc0o0/edit?usp=sharing"",""งบพรบ!AJ65"")"),0)</f>
        <v>0</v>
      </c>
      <c r="M74" s="93">
        <f ca="1">IFERROR(__xludf.DUMMYFUNCTION("IMPORTRANGE(""https://docs.google.com/spreadsheets/d/1MeEWN-I1oV_STSDYn1IFDPWt_1FKiwhDph83XaGc0o0/edit?usp=sharing"",""งบพรบ!AM65"")"),0)</f>
        <v>0</v>
      </c>
      <c r="N74" s="93">
        <f ca="1">IFERROR(__xludf.DUMMYFUNCTION("IMPORTRANGE(""https://docs.google.com/spreadsheets/d/1MeEWN-I1oV_STSDYn1IFDPWt_1FKiwhDph83XaGc0o0/edit?usp=sharing"",""งบพรบ!AO65"")"),0)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397480</v>
      </c>
      <c r="M88" s="155">
        <f t="shared" ca="1" si="49"/>
        <v>397480</v>
      </c>
      <c r="N88" s="155">
        <f t="shared" ca="1" si="49"/>
        <v>339758.14</v>
      </c>
      <c r="O88" s="155">
        <f t="shared" ref="O88:O96" ca="1" si="50">IF(L88&gt;0,N88*100/L88,0)</f>
        <v>85.478046694173287</v>
      </c>
      <c r="P88" s="155">
        <f t="shared" ref="P88:P96" ca="1" si="51">IF(M88&gt;0,N88*100/M88,0)</f>
        <v>85.478046694173287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397480</v>
      </c>
      <c r="M90" s="93">
        <f t="shared" ca="1" si="52"/>
        <v>397480</v>
      </c>
      <c r="N90" s="93">
        <f t="shared" ca="1" si="52"/>
        <v>339758.14</v>
      </c>
      <c r="O90" s="93">
        <f t="shared" ca="1" si="50"/>
        <v>85.478046694173287</v>
      </c>
      <c r="P90" s="93">
        <f t="shared" ca="1" si="51"/>
        <v>85.478046694173287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397480</v>
      </c>
      <c r="M91" s="497">
        <f t="shared" ca="1" si="53"/>
        <v>397480</v>
      </c>
      <c r="N91" s="497">
        <f t="shared" ca="1" si="53"/>
        <v>339758.14</v>
      </c>
      <c r="O91" s="497">
        <f t="shared" ca="1" si="50"/>
        <v>85.478046694173287</v>
      </c>
      <c r="P91" s="497">
        <f t="shared" ca="1" si="51"/>
        <v>85.478046694173287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IFERROR(__xludf.DUMMYFUNCTION("IMPORTRANGE(""https://docs.google.com/spreadsheets/d/1MeEWN-I1oV_STSDYn1IFDPWt_1FKiwhDph83XaGc0o0/edit?usp=sharing"",""งบพรบ!AQ65"")"),397480)</f>
        <v>397480</v>
      </c>
      <c r="M93" s="93">
        <f ca="1">IFERROR(__xludf.DUMMYFUNCTION("IMPORTRANGE(""https://docs.google.com/spreadsheets/d/1MeEWN-I1oV_STSDYn1IFDPWt_1FKiwhDph83XaGc0o0/edit?usp=sharing"",""งบพรบ!AV65"")"),397480)</f>
        <v>397480</v>
      </c>
      <c r="N93" s="93">
        <f ca="1">IFERROR(__xludf.DUMMYFUNCTION("IMPORTRANGE(""https://docs.google.com/spreadsheets/d/1MeEWN-I1oV_STSDYn1IFDPWt_1FKiwhDph83XaGc0o0/edit?usp=sharing"",""งบพรบ!AX65"")"),339758.14)</f>
        <v>339758.14</v>
      </c>
      <c r="O93" s="93">
        <f t="shared" ca="1" si="50"/>
        <v>85.478046694173287</v>
      </c>
      <c r="P93" s="93">
        <f t="shared" ca="1" si="51"/>
        <v>85.478046694173287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IFERROR(__xludf.DUMMYFUNCTION("IMPORTRANGE(""https://docs.google.com/spreadsheets/d/1MeEWN-I1oV_STSDYn1IFDPWt_1FKiwhDph83XaGc0o0/edit?usp=sharing"",""งบพรบ!AT65"")"),0)</f>
        <v>0</v>
      </c>
      <c r="M96" s="93">
        <f ca="1">IFERROR(__xludf.DUMMYFUNCTION("IMPORTRANGE(""https://docs.google.com/spreadsheets/d/1MeEWN-I1oV_STSDYn1IFDPWt_1FKiwhDph83XaGc0o0/edit?usp=sharing"",""งบพรบ!AW65"")"),0)</f>
        <v>0</v>
      </c>
      <c r="N96" s="93">
        <f ca="1">IFERROR(__xludf.DUMMYFUNCTION("IMPORTRANGE(""https://docs.google.com/spreadsheets/d/1MeEWN-I1oV_STSDYn1IFDPWt_1FKiwhDph83XaGc0o0/edit?usp=sharing"",""งบพรบ!AY65"")"),0)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IFERROR(__xludf.DUMMYFUNCTION("IMPORTRANGE(""https://docs.google.com/spreadsheets/d/1QqKyyYR6Q21VydFLVH3TRQUabQu_ym0Zz7PgGX0-kHA/edit?usp=sharing"",""แผน!R65"")"),20)</f>
        <v>20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IFERROR(__xludf.DUMMYFUNCTION("IMPORTRANGE(""https://docs.google.com/spreadsheets/d/1MeEWN-I1oV_STSDYn1IFDPWt_1FKiwhDph83XaGc0o0/edit?usp=sharing"",""งบพรบ!BA65"")"),0)</f>
        <v>0</v>
      </c>
      <c r="M124" s="93">
        <f ca="1">IFERROR(__xludf.DUMMYFUNCTION("IMPORTRANGE(""https://docs.google.com/spreadsheets/d/1MeEWN-I1oV_STSDYn1IFDPWt_1FKiwhDph83XaGc0o0/edit?usp=sharing"",""งบพรบ!BF65"")"),0)</f>
        <v>0</v>
      </c>
      <c r="N124" s="93">
        <f ca="1">IFERROR(__xludf.DUMMYFUNCTION("IMPORTRANGE(""https://docs.google.com/spreadsheets/d/1MeEWN-I1oV_STSDYn1IFDPWt_1FKiwhDph83XaGc0o0/edit?usp=sharing"",""งบพรบ!BH65"")"),0)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IFERROR(__xludf.DUMMYFUNCTION("IMPORTRANGE(""https://docs.google.com/spreadsheets/d/1MeEWN-I1oV_STSDYn1IFDPWt_1FKiwhDph83XaGc0o0/edit?usp=sharing"",""งบพรบ!BD65"")"),0)</f>
        <v>0</v>
      </c>
      <c r="M127" s="93">
        <f ca="1">IFERROR(__xludf.DUMMYFUNCTION("IMPORTRANGE(""https://docs.google.com/spreadsheets/d/1MeEWN-I1oV_STSDYn1IFDPWt_1FKiwhDph83XaGc0o0/edit?usp=sharing"",""งบพรบ!BG65"")"),0)</f>
        <v>0</v>
      </c>
      <c r="N127" s="93">
        <f ca="1">IFERROR(__xludf.DUMMYFUNCTION("IMPORTRANGE(""https://docs.google.com/spreadsheets/d/1MeEWN-I1oV_STSDYn1IFDPWt_1FKiwhDph83XaGc0o0/edit?usp=sharing"",""งบพรบ!BI65"")"),0)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IFERROR(__xludf.DUMMYFUNCTION("IMPORTRANGE(""https://docs.google.com/spreadsheets/d/1MeEWN-I1oV_STSDYn1IFDPWt_1FKiwhDph83XaGc0o0/edit?usp=sharing"",""งบพรบ!BK65"")"),0)</f>
        <v>0</v>
      </c>
      <c r="M137" s="93">
        <f ca="1">IFERROR(__xludf.DUMMYFUNCTION("IMPORTRANGE(""https://docs.google.com/spreadsheets/d/1MeEWN-I1oV_STSDYn1IFDPWt_1FKiwhDph83XaGc0o0/edit?usp=sharing"",""งบพรบ!BP65"")"),0)</f>
        <v>0</v>
      </c>
      <c r="N137" s="93">
        <f ca="1">IFERROR(__xludf.DUMMYFUNCTION("IMPORTRANGE(""https://docs.google.com/spreadsheets/d/1MeEWN-I1oV_STSDYn1IFDPWt_1FKiwhDph83XaGc0o0/edit?usp=sharing"",""งบพรบ!BR65"")"),0)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IFERROR(__xludf.DUMMYFUNCTION("IMPORTRANGE(""https://docs.google.com/spreadsheets/d/1MeEWN-I1oV_STSDYn1IFDPWt_1FKiwhDph83XaGc0o0/edit?usp=sharing"",""งบพรบ!BN65"")"),0)</f>
        <v>0</v>
      </c>
      <c r="M140" s="93">
        <f ca="1">IFERROR(__xludf.DUMMYFUNCTION("IMPORTRANGE(""https://docs.google.com/spreadsheets/d/1MeEWN-I1oV_STSDYn1IFDPWt_1FKiwhDph83XaGc0o0/edit?usp=sharing"",""งบพรบ!BQ65"")"),0)</f>
        <v>0</v>
      </c>
      <c r="N140" s="93">
        <f ca="1">IFERROR(__xludf.DUMMYFUNCTION("IMPORTRANGE(""https://docs.google.com/spreadsheets/d/1MeEWN-I1oV_STSDYn1IFDPWt_1FKiwhDph83XaGc0o0/edit?usp=sharing"",""งบพรบ!BS65"")"),0)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3450</v>
      </c>
      <c r="O149" s="155">
        <f t="shared" ref="O149:O157" ca="1" si="78">IF(L149&gt;0,N149*100/L149,0)</f>
        <v>46</v>
      </c>
      <c r="P149" s="155">
        <f t="shared" ref="P149:P157" ca="1" si="79">IF(M149&gt;0,N149*100/M149,0)</f>
        <v>46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3450</v>
      </c>
      <c r="O151" s="93">
        <f t="shared" ca="1" si="78"/>
        <v>46</v>
      </c>
      <c r="P151" s="93">
        <f t="shared" ca="1" si="79"/>
        <v>46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3450</v>
      </c>
      <c r="O152" s="497">
        <f t="shared" ca="1" si="78"/>
        <v>46</v>
      </c>
      <c r="P152" s="497">
        <f t="shared" ca="1" si="79"/>
        <v>46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IFERROR(__xludf.DUMMYFUNCTION("IMPORTRANGE(""https://docs.google.com/spreadsheets/d/1MeEWN-I1oV_STSDYn1IFDPWt_1FKiwhDph83XaGc0o0/edit?usp=sharing"",""งบพรบ!BU65"")"),7500)</f>
        <v>7500</v>
      </c>
      <c r="M154" s="93">
        <f ca="1">IFERROR(__xludf.DUMMYFUNCTION("IMPORTRANGE(""https://docs.google.com/spreadsheets/d/1MeEWN-I1oV_STSDYn1IFDPWt_1FKiwhDph83XaGc0o0/edit?usp=sharing"",""งบพรบ!BZ65"")"),7500)</f>
        <v>7500</v>
      </c>
      <c r="N154" s="93">
        <f ca="1">IFERROR(__xludf.DUMMYFUNCTION("IMPORTRANGE(""https://docs.google.com/spreadsheets/d/1MeEWN-I1oV_STSDYn1IFDPWt_1FKiwhDph83XaGc0o0/edit?usp=sharing"",""งบพรบ!CB65"")"),3450)</f>
        <v>3450</v>
      </c>
      <c r="O154" s="93">
        <f t="shared" ca="1" si="78"/>
        <v>46</v>
      </c>
      <c r="P154" s="93">
        <f t="shared" ca="1" si="79"/>
        <v>46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IFERROR(__xludf.DUMMYFUNCTION("IMPORTRANGE(""https://docs.google.com/spreadsheets/d/1MeEWN-I1oV_STSDYn1IFDPWt_1FKiwhDph83XaGc0o0/edit?usp=sharing"",""งบพรบ!BX65"")"),0)</f>
        <v>0</v>
      </c>
      <c r="M157" s="93">
        <f ca="1">IFERROR(__xludf.DUMMYFUNCTION("IMPORTRANGE(""https://docs.google.com/spreadsheets/d/1MeEWN-I1oV_STSDYn1IFDPWt_1FKiwhDph83XaGc0o0/edit?usp=sharing"",""งบพรบ!CA65"")"),0)</f>
        <v>0</v>
      </c>
      <c r="N157" s="93">
        <f ca="1">IFERROR(__xludf.DUMMYFUNCTION("IMPORTRANGE(""https://docs.google.com/spreadsheets/d/1MeEWN-I1oV_STSDYn1IFDPWt_1FKiwhDph83XaGc0o0/edit?usp=sharing"",""งบพรบ!CC65"")"),0)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IFERROR(__xludf.DUMMYFUNCTION("IMPORTRANGE(""https://docs.google.com/spreadsheets/d/1QqKyyYR6Q21VydFLVH3TRQUabQu_ym0Zz7PgGX0-kHA/edit?usp=sharing"",""แผน!X65"")"),15)</f>
        <v>15</v>
      </c>
      <c r="J159" s="215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31190</v>
      </c>
      <c r="N165" s="155">
        <f t="shared" ca="1" si="84"/>
        <v>31190</v>
      </c>
      <c r="O165" s="155">
        <f t="shared" ref="O165:O173" ca="1" si="85">IF(L165&gt;0,N165*100/L165,0)</f>
        <v>148.17102137767222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31190</v>
      </c>
      <c r="N167" s="93">
        <f t="shared" ca="1" si="87"/>
        <v>31190</v>
      </c>
      <c r="O167" s="93">
        <f t="shared" ca="1" si="85"/>
        <v>148.17102137767222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31190</v>
      </c>
      <c r="N168" s="497">
        <f t="shared" ca="1" si="88"/>
        <v>31190</v>
      </c>
      <c r="O168" s="497">
        <f t="shared" ca="1" si="85"/>
        <v>148.17102137767222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IFERROR(__xludf.DUMMYFUNCTION("IMPORTRANGE(""https://docs.google.com/spreadsheets/d/1MeEWN-I1oV_STSDYn1IFDPWt_1FKiwhDph83XaGc0o0/edit?usp=sharing"",""งบพรบ!CE65"")"),21050)</f>
        <v>21050</v>
      </c>
      <c r="M170" s="93">
        <f ca="1">IFERROR(__xludf.DUMMYFUNCTION("IMPORTRANGE(""https://docs.google.com/spreadsheets/d/1MeEWN-I1oV_STSDYn1IFDPWt_1FKiwhDph83XaGc0o0/edit?usp=sharing"",""งบพรบ!CJ65"")"),31190)</f>
        <v>31190</v>
      </c>
      <c r="N170" s="93">
        <f ca="1">IFERROR(__xludf.DUMMYFUNCTION("IMPORTRANGE(""https://docs.google.com/spreadsheets/d/1MeEWN-I1oV_STSDYn1IFDPWt_1FKiwhDph83XaGc0o0/edit?usp=sharing"",""งบพรบ!CL65"")"),31190)</f>
        <v>31190</v>
      </c>
      <c r="O170" s="93">
        <f t="shared" ca="1" si="85"/>
        <v>148.17102137767222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IFERROR(__xludf.DUMMYFUNCTION("IMPORTRANGE(""https://docs.google.com/spreadsheets/d/1MeEWN-I1oV_STSDYn1IFDPWt_1FKiwhDph83XaGc0o0/edit?usp=sharing"",""งบพรบ!CH65"")"),0)</f>
        <v>0</v>
      </c>
      <c r="M173" s="93">
        <f ca="1">IFERROR(__xludf.DUMMYFUNCTION("IMPORTRANGE(""https://docs.google.com/spreadsheets/d/1MeEWN-I1oV_STSDYn1IFDPWt_1FKiwhDph83XaGc0o0/edit?usp=sharing"",""งบพรบ!CK65"")"),0)</f>
        <v>0</v>
      </c>
      <c r="N173" s="93">
        <f ca="1">IFERROR(__xludf.DUMMYFUNCTION("IMPORTRANGE(""https://docs.google.com/spreadsheets/d/1MeEWN-I1oV_STSDYn1IFDPWt_1FKiwhDph83XaGc0o0/edit?usp=sharing"",""งบพรบ!CM65"")"),0)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45500</v>
      </c>
      <c r="M181" s="155">
        <f t="shared" ca="1" si="92"/>
        <v>45500</v>
      </c>
      <c r="N181" s="155">
        <f t="shared" ca="1" si="92"/>
        <v>19670</v>
      </c>
      <c r="O181" s="155">
        <f t="shared" ref="O181:O189" ca="1" si="93">IF(L181&gt;0,N181*100/L181,0)</f>
        <v>43.230769230769234</v>
      </c>
      <c r="P181" s="155">
        <f t="shared" ref="P181:P189" ca="1" si="94">IF(M181&gt;0,N181*100/M181,0)</f>
        <v>43.230769230769234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45500</v>
      </c>
      <c r="M183" s="93">
        <f t="shared" ca="1" si="95"/>
        <v>45500</v>
      </c>
      <c r="N183" s="93">
        <f t="shared" ca="1" si="95"/>
        <v>19670</v>
      </c>
      <c r="O183" s="93">
        <f t="shared" ca="1" si="93"/>
        <v>43.230769230769234</v>
      </c>
      <c r="P183" s="93">
        <f t="shared" ca="1" si="94"/>
        <v>43.230769230769234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45500</v>
      </c>
      <c r="M184" s="497">
        <f t="shared" ca="1" si="96"/>
        <v>45500</v>
      </c>
      <c r="N184" s="497">
        <f t="shared" ca="1" si="96"/>
        <v>19670</v>
      </c>
      <c r="O184" s="497">
        <f t="shared" ca="1" si="93"/>
        <v>43.230769230769234</v>
      </c>
      <c r="P184" s="497">
        <f t="shared" ca="1" si="94"/>
        <v>43.230769230769234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IFERROR(__xludf.DUMMYFUNCTION("IMPORTRANGE(""https://docs.google.com/spreadsheets/d/1MeEWN-I1oV_STSDYn1IFDPWt_1FKiwhDph83XaGc0o0/edit?usp=sharing"",""งบพรบ!CO65"")"),45500)</f>
        <v>45500</v>
      </c>
      <c r="M186" s="93">
        <f ca="1">IFERROR(__xludf.DUMMYFUNCTION("IMPORTRANGE(""https://docs.google.com/spreadsheets/d/1MeEWN-I1oV_STSDYn1IFDPWt_1FKiwhDph83XaGc0o0/edit?usp=sharing"",""งบพรบ!CT65"")"),45500)</f>
        <v>45500</v>
      </c>
      <c r="N186" s="93">
        <f ca="1">IFERROR(__xludf.DUMMYFUNCTION("IMPORTRANGE(""https://docs.google.com/spreadsheets/d/1MeEWN-I1oV_STSDYn1IFDPWt_1FKiwhDph83XaGc0o0/edit?usp=sharing"",""งบพรบ!CV65"")"),19670)</f>
        <v>19670</v>
      </c>
      <c r="O186" s="93">
        <f t="shared" ca="1" si="93"/>
        <v>43.230769230769234</v>
      </c>
      <c r="P186" s="93">
        <f t="shared" ca="1" si="94"/>
        <v>43.230769230769234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IFERROR(__xludf.DUMMYFUNCTION("IMPORTRANGE(""https://docs.google.com/spreadsheets/d/1MeEWN-I1oV_STSDYn1IFDPWt_1FKiwhDph83XaGc0o0/edit?usp=sharing"",""งบพรบ!CR65"")"),0)</f>
        <v>0</v>
      </c>
      <c r="M189" s="93">
        <f ca="1">IFERROR(__xludf.DUMMYFUNCTION("IMPORTRANGE(""https://docs.google.com/spreadsheets/d/1MeEWN-I1oV_STSDYn1IFDPWt_1FKiwhDph83XaGc0o0/edit?usp=sharing"",""งบพรบ!CU65"")"),0)</f>
        <v>0</v>
      </c>
      <c r="N189" s="93">
        <f ca="1">IFERROR(__xludf.DUMMYFUNCTION("IMPORTRANGE(""https://docs.google.com/spreadsheets/d/1MeEWN-I1oV_STSDYn1IFDPWt_1FKiwhDph83XaGc0o0/edit?usp=sharing"",""งบพรบ!CW65"")"),0)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IFERROR(__xludf.DUMMYFUNCTION("IMPORTRANGE(""https://docs.google.com/spreadsheets/d/1QqKyyYR6Q21VydFLVH3TRQUabQu_ym0Zz7PgGX0-kHA/edit?usp=sharing"",""แผน!Z65"")"),6000)</f>
        <v>6000</v>
      </c>
      <c r="M191" s="155"/>
      <c r="N191" s="276">
        <v>1120</v>
      </c>
      <c r="O191" s="155">
        <f ca="1">IF(L191&gt;0,N191*100/L191,0)</f>
        <v>18.666666666666668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18000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IFERROR(__xludf.DUMMYFUNCTION("IMPORTRANGE(""https://docs.google.com/spreadsheets/d/1QqKyyYR6Q21VydFLVH3TRQUabQu_ym0Zz7PgGX0-kHA/edit?usp=sharing"",""แผน!AE65"")"),2000)</f>
        <v>2000</v>
      </c>
      <c r="M199" s="497"/>
      <c r="N199" s="284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IFERROR(__xludf.DUMMYFUNCTION("IMPORTRANGE(""https://docs.google.com/spreadsheets/d/1QqKyyYR6Q21VydFLVH3TRQUabQu_ym0Zz7PgGX0-kHA/edit?usp=sharing"",""แผน!AF65"")"),16000)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IFERROR(__xludf.DUMMYFUNCTION("IMPORTRANGE(""https://docs.google.com/spreadsheets/d/1QqKyyYR6Q21VydFLVH3TRQUabQu_ym0Zz7PgGX0-kHA/edit?usp=sharing"",""แผน!AG65"")"),8000)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IFERROR(__xludf.DUMMYFUNCTION("IMPORTRANGE(""https://docs.google.com/spreadsheets/d/1QqKyyYR6Q21VydFLVH3TRQUabQu_ym0Zz7PgGX0-kHA/edit?usp=sharing"",""แผน!AI65"")"),2)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IFERROR(__xludf.DUMMYFUNCTION("IMPORTRANGE(""https://docs.google.com/spreadsheets/d/1QqKyyYR6Q21VydFLVH3TRQUabQu_ym0Zz7PgGX0-kHA/edit?usp=sharing"",""แผน!AK65"")"),0)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IFERROR(__xludf.DUMMYFUNCTION("IMPORTRANGE(""https://docs.google.com/spreadsheets/d/1QqKyyYR6Q21VydFLVH3TRQUabQu_ym0Zz7PgGX0-kHA/edit?usp=sharing"",""แผน!AL65"")"),0)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IFERROR(__xludf.DUMMYFUNCTION("IMPORTRANGE(""https://docs.google.com/spreadsheets/d/1QqKyyYR6Q21VydFLVH3TRQUabQu_ym0Zz7PgGX0-kHA/edit?usp=sharing"",""แผน!AM65"")"),0)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IFERROR(__xludf.DUMMYFUNCTION("IMPORTRANGE(""https://docs.google.com/spreadsheets/d/1QqKyyYR6Q21VydFLVH3TRQUabQu_ym0Zz7PgGX0-kHA/edit?usp=sharing"",""แผน!AP65"")"),5000)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IFERROR(__xludf.DUMMYFUNCTION("IMPORTRANGE(""https://docs.google.com/spreadsheets/d/1QqKyyYR6Q21VydFLVH3TRQUabQu_ym0Zz7PgGX0-kHA/edit?usp=sharing"",""แผน!AQ65"")"),8500)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IFERROR(__xludf.DUMMYFUNCTION("IMPORTRANGE(""https://docs.google.com/spreadsheets/d/1QqKyyYR6Q21VydFLVH3TRQUabQu_ym0Zz7PgGX0-kHA/edit?usp=sharing"",""แผน!AR65"")"),0)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IFERROR(__xludf.DUMMYFUNCTION("IMPORTRANGE(""https://docs.google.com/spreadsheets/d/1QqKyyYR6Q21VydFLVH3TRQUabQu_ym0Zz7PgGX0-kHA/edit?usp=sharing"",""แผน!AT65"")"),30000)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IFERROR(__xludf.DUMMYFUNCTION("IMPORTRANGE(""https://docs.google.com/spreadsheets/d/1QqKyyYR6Q21VydFLVH3TRQUabQu_ym0Zz7PgGX0-kHA/edit?usp=sharing"",""แผน!AT65"")"),30000)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IFERROR(__xludf.DUMMYFUNCTION("IMPORTRANGE(""https://docs.google.com/spreadsheets/d/1QqKyyYR6Q21VydFLVH3TRQUabQu_ym0Zz7PgGX0-kHA/edit?usp=sharing"",""แผน!AV65"")"),0)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IFERROR(__xludf.DUMMYFUNCTION("IMPORTRANGE(""https://docs.google.com/spreadsheets/d/1QqKyyYR6Q21VydFLVH3TRQUabQu_ym0Zz7PgGX0-kHA/edit?usp=sharing"",""แผน!AW65"")"),0)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IFERROR(__xludf.DUMMYFUNCTION("IMPORTRANGE(""https://docs.google.com/spreadsheets/d/1QqKyyYR6Q21VydFLVH3TRQUabQu_ym0Zz7PgGX0-kHA/edit?usp=sharing"",""แผน!AX65"")"),0)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IFERROR(__xludf.DUMMYFUNCTION("IMPORTRANGE(""https://docs.google.com/spreadsheets/d/1QqKyyYR6Q21VydFLVH3TRQUabQu_ym0Zz7PgGX0-kHA/edit?usp=sharing"",""แผน!AY65"")"),0)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IFERROR(__xludf.DUMMYFUNCTION("IMPORTRANGE(""https://docs.google.com/spreadsheets/d/1QqKyyYR6Q21VydFLVH3TRQUabQu_ym0Zz7PgGX0-kHA/edit?usp=sharing"",""แผน!AZ65"")"),0)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IFERROR(__xludf.DUMMYFUNCTION("IMPORTRANGE(""https://docs.google.com/spreadsheets/d/1QqKyyYR6Q21VydFLVH3TRQUabQu_ym0Zz7PgGX0-kHA/edit?usp=sharing"",""แผน!BA65"")"),0)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IFERROR(__xludf.DUMMYFUNCTION("IMPORTRANGE(""https://docs.google.com/spreadsheets/d/1QqKyyYR6Q21VydFLVH3TRQUabQu_ym0Zz7PgGX0-kHA/edit?usp=sharing"",""แผน!BB65"")"),0)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IFERROR(__xludf.DUMMYFUNCTION("IMPORTRANGE(""https://docs.google.com/spreadsheets/d/1QqKyyYR6Q21VydFLVH3TRQUabQu_ym0Zz7PgGX0-kHA/edit?usp=sharing"",""แผน!BC65"")"),0)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21055</v>
      </c>
      <c r="O261" s="155">
        <f t="shared" ref="O261:O269" ca="1" si="117">IF(L261&gt;0,N261*100/L261,0)</f>
        <v>78.271375464684013</v>
      </c>
      <c r="P261" s="155">
        <f t="shared" ref="P261:P269" ca="1" si="118">IF(M261&gt;0,N261*100/M261,0)</f>
        <v>78.271375464684013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21055</v>
      </c>
      <c r="O263" s="93">
        <f t="shared" ca="1" si="117"/>
        <v>78.271375464684013</v>
      </c>
      <c r="P263" s="93">
        <f t="shared" ca="1" si="118"/>
        <v>78.271375464684013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21055</v>
      </c>
      <c r="O264" s="497">
        <f t="shared" ca="1" si="117"/>
        <v>78.271375464684013</v>
      </c>
      <c r="P264" s="497">
        <f t="shared" ca="1" si="118"/>
        <v>78.271375464684013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IFERROR(__xludf.DUMMYFUNCTION("IMPORTRANGE(""https://docs.google.com/spreadsheets/d/1MeEWN-I1oV_STSDYn1IFDPWt_1FKiwhDph83XaGc0o0/edit?usp=sharing"",""งบพรบ!CY65"")"),26900)</f>
        <v>26900</v>
      </c>
      <c r="M266" s="93">
        <f ca="1">IFERROR(__xludf.DUMMYFUNCTION("IMPORTRANGE(""https://docs.google.com/spreadsheets/d/1MeEWN-I1oV_STSDYn1IFDPWt_1FKiwhDph83XaGc0o0/edit?usp=sharing"",""งบพรบ!DD65"")"),26900)</f>
        <v>26900</v>
      </c>
      <c r="N266" s="93">
        <f ca="1">IFERROR(__xludf.DUMMYFUNCTION("IMPORTRANGE(""https://docs.google.com/spreadsheets/d/1MeEWN-I1oV_STSDYn1IFDPWt_1FKiwhDph83XaGc0o0/edit?usp=sharing"",""งบพรบ!DF65"")"),21055)</f>
        <v>21055</v>
      </c>
      <c r="O266" s="93">
        <f t="shared" ca="1" si="117"/>
        <v>78.271375464684013</v>
      </c>
      <c r="P266" s="93">
        <f t="shared" ca="1" si="118"/>
        <v>78.271375464684013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IFERROR(__xludf.DUMMYFUNCTION("IMPORTRANGE(""https://docs.google.com/spreadsheets/d/1MeEWN-I1oV_STSDYn1IFDPWt_1FKiwhDph83XaGc0o0/edit?usp=sharing"",""งบพรบ!DB65"")"),0)</f>
        <v>0</v>
      </c>
      <c r="M269" s="93">
        <f ca="1">IFERROR(__xludf.DUMMYFUNCTION("IMPORTRANGE(""https://docs.google.com/spreadsheets/d/1MeEWN-I1oV_STSDYn1IFDPWt_1FKiwhDph83XaGc0o0/edit?usp=sharing"",""งบพรบ!DE65"")"),0)</f>
        <v>0</v>
      </c>
      <c r="N269" s="93">
        <f ca="1">IFERROR(__xludf.DUMMYFUNCTION("IMPORTRANGE(""https://docs.google.com/spreadsheets/d/1MeEWN-I1oV_STSDYn1IFDPWt_1FKiwhDph83XaGc0o0/edit?usp=sharing"",""งบพรบ!DG65"")"),0)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IFERROR(__xludf.DUMMYFUNCTION("IMPORTRANGE(""https://docs.google.com/spreadsheets/d/1MeEWN-I1oV_STSDYn1IFDPWt_1FKiwhDph83XaGc0o0/edit?usp=sharing"",""งบพรบ!DI65"")"),0)</f>
        <v>0</v>
      </c>
      <c r="M282" s="93">
        <f ca="1">IFERROR(__xludf.DUMMYFUNCTION("IMPORTRANGE(""https://docs.google.com/spreadsheets/d/1MeEWN-I1oV_STSDYn1IFDPWt_1FKiwhDph83XaGc0o0/edit?usp=sharing"",""งบพรบ!DN65"")"),0)</f>
        <v>0</v>
      </c>
      <c r="N282" s="93">
        <f ca="1">IFERROR(__xludf.DUMMYFUNCTION("IMPORTRANGE(""https://docs.google.com/spreadsheets/d/1MeEWN-I1oV_STSDYn1IFDPWt_1FKiwhDph83XaGc0o0/edit?usp=sharing"",""งบพรบ!DP65"")"),0)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IFERROR(__xludf.DUMMYFUNCTION("IMPORTRANGE(""https://docs.google.com/spreadsheets/d/1MeEWN-I1oV_STSDYn1IFDPWt_1FKiwhDph83XaGc0o0/edit?usp=sharing"",""งบพรบ!DL65"")"),0)</f>
        <v>0</v>
      </c>
      <c r="M285" s="93">
        <f ca="1">IFERROR(__xludf.DUMMYFUNCTION("IMPORTRANGE(""https://docs.google.com/spreadsheets/d/1MeEWN-I1oV_STSDYn1IFDPWt_1FKiwhDph83XaGc0o0/edit?usp=sharing"",""งบพรบ!DO65"")"),0)</f>
        <v>0</v>
      </c>
      <c r="N285" s="93">
        <f ca="1">IFERROR(__xludf.DUMMYFUNCTION("IMPORTRANGE(""https://docs.google.com/spreadsheets/d/1MeEWN-I1oV_STSDYn1IFDPWt_1FKiwhDph83XaGc0o0/edit?usp=sharing"",""งบพรบ!DQ65"")"),0)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IFERROR(__xludf.DUMMYFUNCTION("IMPORTRANGE(""https://docs.google.com/spreadsheets/d/1QqKyyYR6Q21VydFLVH3TRQUabQu_ym0Zz7PgGX0-kHA/edit?usp=sharing"",""แผน!EC65"")"),0)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IFERROR(__xludf.DUMMYFUNCTION("IMPORTRANGE(""https://docs.google.com/spreadsheets/d/1QqKyyYR6Q21VydFLVH3TRQUabQu_ym0Zz7PgGX0-kHA/edit?usp=sharing"",""แผน!EB65"")"),0)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IFERROR(__xludf.DUMMYFUNCTION("IMPORTRANGE(""https://docs.google.com/spreadsheets/d/1QqKyyYR6Q21VydFLVH3TRQUabQu_ym0Zz7PgGX0-kHA/edit?usp=sharing"",""แผน!EB65"")"),0)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IFERROR(__xludf.DUMMYFUNCTION("IMPORTRANGE(""https://docs.google.com/spreadsheets/d/1MeEWN-I1oV_STSDYn1IFDPWt_1FKiwhDph83XaGc0o0/edit?usp=sharing"",""งบพรบ!DS65"")"),0)</f>
        <v>0</v>
      </c>
      <c r="M303" s="93">
        <f ca="1">IFERROR(__xludf.DUMMYFUNCTION("IMPORTRANGE(""https://docs.google.com/spreadsheets/d/1MeEWN-I1oV_STSDYn1IFDPWt_1FKiwhDph83XaGc0o0/edit?usp=sharing"",""งบพรบ!DX65"")"),0)</f>
        <v>0</v>
      </c>
      <c r="N303" s="93">
        <f ca="1">IFERROR(__xludf.DUMMYFUNCTION("IMPORTRANGE(""https://docs.google.com/spreadsheets/d/1MeEWN-I1oV_STSDYn1IFDPWt_1FKiwhDph83XaGc0o0/edit?usp=sharing"",""งบพรบ!DZ65"")"),0)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IFERROR(__xludf.DUMMYFUNCTION("IMPORTRANGE(""https://docs.google.com/spreadsheets/d/1MeEWN-I1oV_STSDYn1IFDPWt_1FKiwhDph83XaGc0o0/edit?usp=sharing"",""งบพรบ!DV65"")"),0)</f>
        <v>0</v>
      </c>
      <c r="M306" s="93">
        <f ca="1">IFERROR(__xludf.DUMMYFUNCTION("IMPORTRANGE(""https://docs.google.com/spreadsheets/d/1MeEWN-I1oV_STSDYn1IFDPWt_1FKiwhDph83XaGc0o0/edit?usp=sharing"",""งบพรบ!DY65"")"),0)</f>
        <v>0</v>
      </c>
      <c r="N306" s="93">
        <f ca="1">IFERROR(__xludf.DUMMYFUNCTION("IMPORTRANGE(""https://docs.google.com/spreadsheets/d/1MeEWN-I1oV_STSDYn1IFDPWt_1FKiwhDph83XaGc0o0/edit?usp=sharing"",""งบพรบ!EA65"")"),0)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IFERROR(__xludf.DUMMYFUNCTION("IMPORTRANGE(""https://docs.google.com/spreadsheets/d/1QqKyyYR6Q21VydFLVH3TRQUabQu_ym0Zz7PgGX0-kHA/edit?usp=sharing"",""แผน!ED65"")"),0)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IFERROR(__xludf.DUMMYFUNCTION("IMPORTRANGE(""https://docs.google.com/spreadsheets/d/1QqKyyYR6Q21VydFLVH3TRQUabQu_ym0Zz7PgGX0-kHA/edit?usp=sharing"",""แผน!ED65"")"),0)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IFERROR(__xludf.DUMMYFUNCTION("IMPORTRANGE(""https://docs.google.com/spreadsheets/d/1QqKyyYR6Q21VydFLVH3TRQUabQu_ym0Zz7PgGX0-kHA/edit?usp=sharing"",""แผน!ED65"")"),0)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IFERROR(__xludf.DUMMYFUNCTION("IMPORTRANGE(""https://docs.google.com/spreadsheets/d/1QqKyyYR6Q21VydFLVH3TRQUabQu_ym0Zz7PgGX0-kHA/edit?usp=sharing"",""แผน!EE65"")"),0)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IFERROR(__xludf.DUMMYFUNCTION("IMPORTRANGE(""https://docs.google.com/spreadsheets/d/1MeEWN-I1oV_STSDYn1IFDPWt_1FKiwhDph83XaGc0o0/edit?usp=sharing"",""งบพรบ!EC65"")"),0)</f>
        <v>0</v>
      </c>
      <c r="M320" s="93">
        <f ca="1">IFERROR(__xludf.DUMMYFUNCTION("IMPORTRANGE(""https://docs.google.com/spreadsheets/d/1MeEWN-I1oV_STSDYn1IFDPWt_1FKiwhDph83XaGc0o0/edit?usp=sharing"",""งบพรบ!EH65"")"),0)</f>
        <v>0</v>
      </c>
      <c r="N320" s="93">
        <f ca="1">IFERROR(__xludf.DUMMYFUNCTION("IMPORTRANGE(""https://docs.google.com/spreadsheets/d/1MeEWN-I1oV_STSDYn1IFDPWt_1FKiwhDph83XaGc0o0/edit?usp=sharing"",""งบพรบ!EJ65"")"),0)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IFERROR(__xludf.DUMMYFUNCTION("IMPORTRANGE(""https://docs.google.com/spreadsheets/d/1MeEWN-I1oV_STSDYn1IFDPWt_1FKiwhDph83XaGc0o0/edit?usp=sharing"",""งบพรบ!EF65"")"),0)</f>
        <v>0</v>
      </c>
      <c r="M323" s="93">
        <f ca="1">IFERROR(__xludf.DUMMYFUNCTION("IMPORTRANGE(""https://docs.google.com/spreadsheets/d/1MeEWN-I1oV_STSDYn1IFDPWt_1FKiwhDph83XaGc0o0/edit?usp=sharing"",""งบพรบ!EI65"")"),0)</f>
        <v>0</v>
      </c>
      <c r="N323" s="93">
        <f ca="1">IFERROR(__xludf.DUMMYFUNCTION("IMPORTRANGE(""https://docs.google.com/spreadsheets/d/1MeEWN-I1oV_STSDYn1IFDPWt_1FKiwhDph83XaGc0o0/edit?usp=sharing"",""งบพรบ!EK65"")"),0)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IFERROR(__xludf.DUMMYFUNCTION("IMPORTRANGE(""https://docs.google.com/spreadsheets/d/1QqKyyYR6Q21VydFLVH3TRQUabQu_ym0Zz7PgGX0-kHA/edit?usp=sharing"",""แผน!EG65"")"),700)</f>
        <v>700</v>
      </c>
      <c r="J327" s="444">
        <f ca="1">J338+J341+J342+J343</f>
        <v>496</v>
      </c>
      <c r="K327" s="445">
        <f ca="1">IF(I327&gt;0,J327*100/I327,0)</f>
        <v>70.857142857142861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163500</v>
      </c>
      <c r="N328" s="155">
        <f t="shared" ca="1" si="149"/>
        <v>121890</v>
      </c>
      <c r="O328" s="155">
        <f t="shared" ref="O328:O336" ca="1" si="150">IF(L328&gt;0,N328*100/L328,0)</f>
        <v>75.708074534161497</v>
      </c>
      <c r="P328" s="155">
        <f t="shared" ref="P328:P336" ca="1" si="151">IF(M328&gt;0,N328*100/M328,0)</f>
        <v>74.550458715596335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161000</v>
      </c>
      <c r="M330" s="93">
        <f t="shared" ca="1" si="152"/>
        <v>163500</v>
      </c>
      <c r="N330" s="93">
        <f t="shared" ca="1" si="152"/>
        <v>121890</v>
      </c>
      <c r="O330" s="93">
        <f t="shared" ca="1" si="150"/>
        <v>75.708074534161497</v>
      </c>
      <c r="P330" s="93">
        <f t="shared" ca="1" si="151"/>
        <v>74.550458715596335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163500</v>
      </c>
      <c r="N331" s="497">
        <f t="shared" ca="1" si="153"/>
        <v>121890</v>
      </c>
      <c r="O331" s="497">
        <f t="shared" ca="1" si="150"/>
        <v>75.708074534161497</v>
      </c>
      <c r="P331" s="497">
        <f t="shared" ca="1" si="151"/>
        <v>74.550458715596335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IFERROR(__xludf.DUMMYFUNCTION("IMPORTRANGE(""https://docs.google.com/spreadsheets/d/1MeEWN-I1oV_STSDYn1IFDPWt_1FKiwhDph83XaGc0o0/edit?usp=sharing"",""งบพรบ!EM65"")"),161000)</f>
        <v>161000</v>
      </c>
      <c r="M333" s="93">
        <f ca="1">IFERROR(__xludf.DUMMYFUNCTION("IMPORTRANGE(""https://docs.google.com/spreadsheets/d/1MeEWN-I1oV_STSDYn1IFDPWt_1FKiwhDph83XaGc0o0/edit?usp=sharing"",""งบพรบ!ER65"")"),163500)</f>
        <v>163500</v>
      </c>
      <c r="N333" s="93">
        <f ca="1">IFERROR(__xludf.DUMMYFUNCTION("IMPORTRANGE(""https://docs.google.com/spreadsheets/d/1MeEWN-I1oV_STSDYn1IFDPWt_1FKiwhDph83XaGc0o0/edit?usp=sharing"",""งบพรบ!ET65"")"),121890)</f>
        <v>121890</v>
      </c>
      <c r="O333" s="93">
        <f t="shared" ca="1" si="150"/>
        <v>75.708074534161497</v>
      </c>
      <c r="P333" s="93">
        <f t="shared" ca="1" si="151"/>
        <v>74.550458715596335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IFERROR(__xludf.DUMMYFUNCTION("IMPORTRANGE(""https://docs.google.com/spreadsheets/d/1MeEWN-I1oV_STSDYn1IFDPWt_1FKiwhDph83XaGc0o0/edit?usp=sharing"",""งบพรบ!EP65"")"),0)</f>
        <v>0</v>
      </c>
      <c r="M336" s="93">
        <f ca="1">IFERROR(__xludf.DUMMYFUNCTION("IMPORTRANGE(""https://docs.google.com/spreadsheets/d/1MeEWN-I1oV_STSDYn1IFDPWt_1FKiwhDph83XaGc0o0/edit?usp=sharing"",""งบพรบ!ES65"")"),0)</f>
        <v>0</v>
      </c>
      <c r="N336" s="93">
        <f ca="1">IFERROR(__xludf.DUMMYFUNCTION("IMPORTRANGE(""https://docs.google.com/spreadsheets/d/1MeEWN-I1oV_STSDYn1IFDPWt_1FKiwhDph83XaGc0o0/edit?usp=sharing"",""งบพรบ!EU65"")"),0)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IFERROR(__xludf.DUMMYFUNCTION("IMPORTRANGE(""https://docs.google.com/spreadsheets/d/1QqKyyYR6Q21VydFLVH3TRQUabQu_ym0Zz7PgGX0-kHA/edit?usp=sharing"",""แผน!EG65"")"),700)</f>
        <v>700</v>
      </c>
      <c r="J338" s="270">
        <f ca="1">IFERROR(__xludf.DUMMYFUNCTION("IMPORTRANGE(""https://docs.google.com/spreadsheets/d/1kVcqe37tkHyjCSG3S0O1AXqVkqjo8mSIZil3BcpIysc/edit?usp=sharing"",""ศูนย์!D65"")"),359)</f>
        <v>359</v>
      </c>
      <c r="K338" s="497">
        <f ca="1">IF(I338&gt;0,J338*100/I338,0)</f>
        <v>51.285714285714285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IFERROR(__xludf.DUMMYFUNCTION("IMPORTRANGE(""https://docs.google.com/spreadsheets/d/1QqKyyYR6Q21VydFLVH3TRQUabQu_ym0Zz7PgGX0-kHA/edit?usp=sharing"",""แผน!EH65"")"),4)</f>
        <v>4</v>
      </c>
      <c r="J340" s="270">
        <f ca="1">IFERROR(__xludf.DUMMYFUNCTION("IMPORTRANGE(""https://docs.google.com/spreadsheets/d/1kVcqe37tkHyjCSG3S0O1AXqVkqjo8mSIZil3BcpIysc/edit?usp=sharing"",""ศูนย์!E65"")"),4)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IFERROR(__xludf.DUMMYFUNCTION("IMPORTRANGE(""https://docs.google.com/spreadsheets/d/1kVcqe37tkHyjCSG3S0O1AXqVkqjo8mSIZil3BcpIysc/edit?usp=sharing"",""ศูนย์!F65"")"),137)</f>
        <v>137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466680</v>
      </c>
      <c r="M345" s="155">
        <f t="shared" ca="1" si="155"/>
        <v>472980</v>
      </c>
      <c r="N345" s="155">
        <f t="shared" ca="1" si="155"/>
        <v>342362</v>
      </c>
      <c r="O345" s="155">
        <f t="shared" ref="O345:O353" ca="1" si="156">IF(L345&gt;0,N345*100/L345,0)</f>
        <v>73.361189680294842</v>
      </c>
      <c r="P345" s="155">
        <f t="shared" ref="P345:P353" ca="1" si="157">IF(M345&gt;0,N345*100/M345,0)</f>
        <v>72.384033151507467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466680</v>
      </c>
      <c r="M347" s="93">
        <f t="shared" ca="1" si="158"/>
        <v>472980</v>
      </c>
      <c r="N347" s="93">
        <f t="shared" ca="1" si="158"/>
        <v>342362</v>
      </c>
      <c r="O347" s="93">
        <f t="shared" ca="1" si="156"/>
        <v>73.361189680294842</v>
      </c>
      <c r="P347" s="93">
        <f t="shared" ca="1" si="157"/>
        <v>72.384033151507467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420680</v>
      </c>
      <c r="M348" s="497">
        <f t="shared" ca="1" si="159"/>
        <v>426980</v>
      </c>
      <c r="N348" s="497">
        <f t="shared" ca="1" si="159"/>
        <v>296362</v>
      </c>
      <c r="O348" s="497">
        <f t="shared" ca="1" si="156"/>
        <v>70.448321764761815</v>
      </c>
      <c r="P348" s="497">
        <f t="shared" ca="1" si="157"/>
        <v>69.408871609911472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IFERROR(__xludf.DUMMYFUNCTION("IMPORTRANGE(""https://docs.google.com/spreadsheets/d/1MeEWN-I1oV_STSDYn1IFDPWt_1FKiwhDph83XaGc0o0/edit?usp=sharing"",""งบพรบ!EW65"")"),420680)</f>
        <v>420680</v>
      </c>
      <c r="M350" s="93">
        <f ca="1">IFERROR(__xludf.DUMMYFUNCTION("IMPORTRANGE(""https://docs.google.com/spreadsheets/d/1MeEWN-I1oV_STSDYn1IFDPWt_1FKiwhDph83XaGc0o0/edit?usp=sharing"",""งบพรบ!FB65"")"),426980)</f>
        <v>426980</v>
      </c>
      <c r="N350" s="93">
        <f ca="1">IFERROR(__xludf.DUMMYFUNCTION("IMPORTRANGE(""https://docs.google.com/spreadsheets/d/1MeEWN-I1oV_STSDYn1IFDPWt_1FKiwhDph83XaGc0o0/edit?usp=sharing"",""งบพรบ!FD65"")"),296362)</f>
        <v>296362</v>
      </c>
      <c r="O350" s="93">
        <f t="shared" ca="1" si="156"/>
        <v>70.448321764761815</v>
      </c>
      <c r="P350" s="93">
        <f t="shared" ca="1" si="157"/>
        <v>69.408871609911472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46000</v>
      </c>
      <c r="M351" s="497">
        <f t="shared" ca="1" si="160"/>
        <v>46000</v>
      </c>
      <c r="N351" s="497">
        <f t="shared" ca="1" si="160"/>
        <v>46000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IFERROR(__xludf.DUMMYFUNCTION("IMPORTRANGE(""https://docs.google.com/spreadsheets/d/1MeEWN-I1oV_STSDYn1IFDPWt_1FKiwhDph83XaGc0o0/edit?usp=sharing"",""งบพรบ!EZ65"")"),46000)</f>
        <v>46000</v>
      </c>
      <c r="M353" s="93">
        <f ca="1">IFERROR(__xludf.DUMMYFUNCTION("IMPORTRANGE(""https://docs.google.com/spreadsheets/d/1MeEWN-I1oV_STSDYn1IFDPWt_1FKiwhDph83XaGc0o0/edit?usp=sharing"",""งบพรบ!FC65"")"),46000)</f>
        <v>46000</v>
      </c>
      <c r="N353" s="93">
        <f ca="1">IFERROR(__xludf.DUMMYFUNCTION("IMPORTRANGE(""https://docs.google.com/spreadsheets/d/1MeEWN-I1oV_STSDYn1IFDPWt_1FKiwhDph83XaGc0o0/edit?usp=sharing"",""งบพรบ!FE65"")"),46000)</f>
        <v>46000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IFERROR(__xludf.DUMMYFUNCTION("IMPORTRANGE(""https://docs.google.com/spreadsheets/d/1QqKyyYR6Q21VydFLVH3TRQUabQu_ym0Zz7PgGX0-kHA/edit?usp=sharing"",""แผน!EP65"")"),14)</f>
        <v>14</v>
      </c>
      <c r="J355" s="464">
        <f ca="1">J362</f>
        <v>1</v>
      </c>
      <c r="K355" s="465">
        <f ca="1">IF(I355&gt;0,J355*100/I355,0)</f>
        <v>7.1428571428571432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IFERROR(__xludf.DUMMYFUNCTION("IMPORTRANGE(""https://docs.google.com/spreadsheets/d/1XWAQStnk-4SwqDmLtmXYiTMKHgktTP8We1SCoS47DrQ/edit?usp=sharing"",""จัดที่ดิน!W65"")"),2)</f>
        <v>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IFERROR(__xludf.DUMMYFUNCTION("IMPORTRANGE(""https://docs.google.com/spreadsheets/d/1QqKyyYR6Q21VydFLVH3TRQUabQu_ym0Zz7PgGX0-kHA/edit?usp=sharing"",""แผน!EO65"")"),150)</f>
        <v>150</v>
      </c>
      <c r="J359" s="270">
        <f ca="1">IFERROR(__xludf.DUMMYFUNCTION("IMPORTRANGE(""https://docs.google.com/spreadsheets/d/1XWAQStnk-4SwqDmLtmXYiTMKHgktTP8We1SCoS47DrQ/edit?usp=sharing"",""จัดที่ดิน!X65"")"),6.97)</f>
        <v>6.97</v>
      </c>
      <c r="K359" s="497">
        <f t="shared" ca="1" si="161"/>
        <v>4.6466666666666665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IFERROR(__xludf.DUMMYFUNCTION("IMPORTRANGE(""https://docs.google.com/spreadsheets/d/1QqKyyYR6Q21VydFLVH3TRQUabQu_ym0Zz7PgGX0-kHA/edit?usp=sharing"",""แผน!EP65"")"),14)</f>
        <v>14</v>
      </c>
      <c r="J360" s="270">
        <f ca="1">IFERROR(__xludf.DUMMYFUNCTION("IMPORTRANGE(""https://docs.google.com/spreadsheets/d/1XWAQStnk-4SwqDmLtmXYiTMKHgktTP8We1SCoS47DrQ/edit?usp=sharing"",""จัดที่ดิน!Y65"")"),1)</f>
        <v>1</v>
      </c>
      <c r="K360" s="497">
        <f t="shared" ca="1" si="161"/>
        <v>7.1428571428571432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IFERROR(__xludf.DUMMYFUNCTION("IMPORTRANGE(""https://docs.google.com/spreadsheets/d/1XWAQStnk-4SwqDmLtmXYiTMKHgktTP8We1SCoS47DrQ/edit?usp=sharing"",""จัดที่ดิน!Z65"")"),1.81)</f>
        <v>1.81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IFERROR(__xludf.DUMMYFUNCTION("IMPORTRANGE(""https://docs.google.com/spreadsheets/d/1QqKyyYR6Q21VydFLVH3TRQUabQu_ym0Zz7PgGX0-kHA/edit?usp=sharing"",""แผน!EP65"")"),14)</f>
        <v>14</v>
      </c>
      <c r="J362" s="270">
        <f ca="1">IFERROR(__xludf.DUMMYFUNCTION("IMPORTRANGE(""https://docs.google.com/spreadsheets/d/1XWAQStnk-4SwqDmLtmXYiTMKHgktTP8We1SCoS47DrQ/edit?usp=sharing"",""จัดที่ดิน!AA65"")"),1)</f>
        <v>1</v>
      </c>
      <c r="K362" s="497">
        <f t="shared" ca="1" si="161"/>
        <v>7.1428571428571432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IFERROR(__xludf.DUMMYFUNCTION("IMPORTRANGE(""https://docs.google.com/spreadsheets/d/1XWAQStnk-4SwqDmLtmXYiTMKHgktTP8We1SCoS47DrQ/edit?usp=sharing"",""จัดที่ดิน!AB65"")"),1.81)</f>
        <v>1.81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69</v>
      </c>
      <c r="J364" s="478">
        <f t="shared" ca="1" si="162"/>
        <v>54</v>
      </c>
      <c r="K364" s="479">
        <f t="shared" ca="1" si="161"/>
        <v>78.260869565217391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IFERROR(__xludf.DUMMYFUNCTION("IMPORTRANGE(""https://docs.google.com/spreadsheets/d/1QqKyyYR6Q21VydFLVH3TRQUabQu_ym0Zz7PgGX0-kHA/edit?usp=sharing"",""แผน!EJ65"")"),4)</f>
        <v>4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IFERROR(__xludf.DUMMYFUNCTION("IMPORTRANGE(""https://docs.google.com/spreadsheets/d/1XWAQStnk-4SwqDmLtmXYiTMKHgktTP8We1SCoS47DrQ/edit?usp=sharing"",""จัดที่ดิน!E65"")"),1)</f>
        <v>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IFERROR(__xludf.DUMMYFUNCTION("IMPORTRANGE(""https://docs.google.com/spreadsheets/d/1QqKyyYR6Q21VydFLVH3TRQUabQu_ym0Zz7PgGX0-kHA/edit?usp=sharing"",""แผน!EI65"")"),50)</f>
        <v>50</v>
      </c>
      <c r="J369" s="270">
        <f ca="1">IFERROR(__xludf.DUMMYFUNCTION("IMPORTRANGE(""https://docs.google.com/spreadsheets/d/1XWAQStnk-4SwqDmLtmXYiTMKHgktTP8We1SCoS47DrQ/edit?usp=sharing"",""จัดที่ดิน!F65"")"),5.16)</f>
        <v>5.16</v>
      </c>
      <c r="K369" s="497">
        <f t="shared" ca="1" si="163"/>
        <v>10.32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IFERROR(__xludf.DUMMYFUNCTION("IMPORTRANGE(""https://docs.google.com/spreadsheets/d/1QqKyyYR6Q21VydFLVH3TRQUabQu_ym0Zz7PgGX0-kHA/edit?usp=sharing"",""แผน!EJ65"")"),4)</f>
        <v>4</v>
      </c>
      <c r="J370" s="270">
        <f ca="1">IFERROR(__xludf.DUMMYFUNCTION("IMPORTRANGE(""https://docs.google.com/spreadsheets/d/1XWAQStnk-4SwqDmLtmXYiTMKHgktTP8We1SCoS47DrQ/edit?usp=sharing"",""จัดที่ดิน!G65"")"),0)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IFERROR(__xludf.DUMMYFUNCTION("IMPORTRANGE(""https://docs.google.com/spreadsheets/d/1XWAQStnk-4SwqDmLtmXYiTMKHgktTP8We1SCoS47DrQ/edit?usp=sharing"",""จัดที่ดิน!H65"")"),0)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IFERROR(__xludf.DUMMYFUNCTION("IMPORTRANGE(""https://docs.google.com/spreadsheets/d/1QqKyyYR6Q21VydFLVH3TRQUabQu_ym0Zz7PgGX0-kHA/edit?usp=sharing"",""แผน!EJ65"")"),4)</f>
        <v>4</v>
      </c>
      <c r="J372" s="270">
        <f ca="1">IFERROR(__xludf.DUMMYFUNCTION("IMPORTRANGE(""https://docs.google.com/spreadsheets/d/1XWAQStnk-4SwqDmLtmXYiTMKHgktTP8We1SCoS47DrQ/edit?usp=sharing"",""จัดที่ดิน!I65"")"),0)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IFERROR(__xludf.DUMMYFUNCTION("IMPORTRANGE(""https://docs.google.com/spreadsheets/d/1XWAQStnk-4SwqDmLtmXYiTMKHgktTP8We1SCoS47DrQ/edit?usp=sharing"",""จัดที่ดิน!J65"")"),0)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IFERROR(__xludf.DUMMYFUNCTION("IMPORTRANGE(""https://docs.google.com/spreadsheets/d/1QqKyyYR6Q21VydFLVH3TRQUabQu_ym0Zz7PgGX0-kHA/edit?usp=sharing"",""แผน!EU65"")"),65)</f>
        <v>65</v>
      </c>
      <c r="J374" s="490">
        <f ca="1">J381</f>
        <v>54</v>
      </c>
      <c r="K374" s="491">
        <f t="shared" ca="1" si="163"/>
        <v>83.07692307692308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IFERROR(__xludf.DUMMYFUNCTION("IMPORTRANGE(""https://docs.google.com/spreadsheets/d/1XWAQStnk-4SwqDmLtmXYiTMKHgktTP8We1SCoS47DrQ/edit?usp=sharing"",""จัดที่ดิน!AH65"")"),1)</f>
        <v>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IFERROR(__xludf.DUMMYFUNCTION("IMPORTRANGE(""https://docs.google.com/spreadsheets/d/1QqKyyYR6Q21VydFLVH3TRQUabQu_ym0Zz7PgGX0-kHA/edit?usp=sharing"",""แผน!ET65"")"),100)</f>
        <v>100</v>
      </c>
      <c r="J378" s="270">
        <f ca="1">IFERROR(__xludf.DUMMYFUNCTION("IMPORTRANGE(""https://docs.google.com/spreadsheets/d/1XWAQStnk-4SwqDmLtmXYiTMKHgktTP8We1SCoS47DrQ/edit?usp=sharing"",""จัดที่ดิน!AI65"")"),1.81)</f>
        <v>1.81</v>
      </c>
      <c r="K378" s="497">
        <f t="shared" ca="1" si="164"/>
        <v>1.81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IFERROR(__xludf.DUMMYFUNCTION("IMPORTRANGE(""https://docs.google.com/spreadsheets/d/1QqKyyYR6Q21VydFLVH3TRQUabQu_ym0Zz7PgGX0-kHA/edit?usp=sharing"",""แผน!EU65"")"),65)</f>
        <v>65</v>
      </c>
      <c r="J379" s="270">
        <f ca="1">IFERROR(__xludf.DUMMYFUNCTION("IMPORTRANGE(""https://docs.google.com/spreadsheets/d/1XWAQStnk-4SwqDmLtmXYiTMKHgktTP8We1SCoS47DrQ/edit?usp=sharing"",""จัดที่ดิน!AJ65"")"),65)</f>
        <v>65</v>
      </c>
      <c r="K379" s="497">
        <f t="shared" ca="1" si="164"/>
        <v>100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IFERROR(__xludf.DUMMYFUNCTION("IMPORTRANGE(""https://docs.google.com/spreadsheets/d/1XWAQStnk-4SwqDmLtmXYiTMKHgktTP8We1SCoS47DrQ/edit?usp=sharing"",""จัดที่ดิน!AK65"")"),917.589999999999)</f>
        <v>917.58999999999901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IFERROR(__xludf.DUMMYFUNCTION("IMPORTRANGE(""https://docs.google.com/spreadsheets/d/1QqKyyYR6Q21VydFLVH3TRQUabQu_ym0Zz7PgGX0-kHA/edit?usp=sharing"",""แผน!EU65"")"),65)</f>
        <v>65</v>
      </c>
      <c r="J381" s="270">
        <f ca="1">IFERROR(__xludf.DUMMYFUNCTION("IMPORTRANGE(""https://docs.google.com/spreadsheets/d/1XWAQStnk-4SwqDmLtmXYiTMKHgktTP8We1SCoS47DrQ/edit?usp=sharing"",""จัดที่ดิน!AL65"")"),54)</f>
        <v>54</v>
      </c>
      <c r="K381" s="497">
        <f t="shared" ca="1" si="164"/>
        <v>83.07692307692308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IFERROR(__xludf.DUMMYFUNCTION("IMPORTRANGE(""https://docs.google.com/spreadsheets/d/1XWAQStnk-4SwqDmLtmXYiTMKHgktTP8We1SCoS47DrQ/edit?usp=sharing"",""จัดที่ดิน!AM65"")"),864.939999999999)</f>
        <v>864.93999999999903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IFERROR(__xludf.DUMMYFUNCTION("IMPORTRANGE(""https://docs.google.com/spreadsheets/d/1QqKyyYR6Q21VydFLVH3TRQUabQu_ym0Zz7PgGX0-kHA/edit?usp=sharing"",""แผน!EW65"")"),10)</f>
        <v>10</v>
      </c>
      <c r="J385" s="501">
        <f ca="1">IFERROR(__xludf.DUMMYFUNCTION("IMPORTRANGE(""https://docs.google.com/spreadsheets/d/1XWAQStnk-4SwqDmLtmXYiTMKHgktTP8We1SCoS47DrQ/edit?usp=sharing"",""จัดที่ดิน!AP65"")"),0)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IFERROR(__xludf.DUMMYFUNCTION("IMPORTRANGE(""https://docs.google.com/spreadsheets/d/1MeEWN-I1oV_STSDYn1IFDPWt_1FKiwhDph83XaGc0o0/edit?usp=sharing"",""งบพรบ!FG65"")"),0)</f>
        <v>0</v>
      </c>
      <c r="M394" s="93">
        <f ca="1">IFERROR(__xludf.DUMMYFUNCTION("IMPORTRANGE(""https://docs.google.com/spreadsheets/d/1MeEWN-I1oV_STSDYn1IFDPWt_1FKiwhDph83XaGc0o0/edit?usp=sharing"",""งบพรบ!FL65"")"),0)</f>
        <v>0</v>
      </c>
      <c r="N394" s="93">
        <f ca="1">IFERROR(__xludf.DUMMYFUNCTION("IMPORTRANGE(""https://docs.google.com/spreadsheets/d/1MeEWN-I1oV_STSDYn1IFDPWt_1FKiwhDph83XaGc0o0/edit?usp=sharing"",""งบพรบ!FN65"")"),0)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IFERROR(__xludf.DUMMYFUNCTION("IMPORTRANGE(""https://docs.google.com/spreadsheets/d/1MeEWN-I1oV_STSDYn1IFDPWt_1FKiwhDph83XaGc0o0/edit?usp=sharing"",""งบพรบ!FJ65"")"),0)</f>
        <v>0</v>
      </c>
      <c r="M397" s="93">
        <f ca="1">IFERROR(__xludf.DUMMYFUNCTION("IMPORTRANGE(""https://docs.google.com/spreadsheets/d/1MeEWN-I1oV_STSDYn1IFDPWt_1FKiwhDph83XaGc0o0/edit?usp=sharing"",""งบพรบ!FM65"")"),0)</f>
        <v>0</v>
      </c>
      <c r="N397" s="93">
        <f ca="1">IFERROR(__xludf.DUMMYFUNCTION("IMPORTRANGE(""https://docs.google.com/spreadsheets/d/1MeEWN-I1oV_STSDYn1IFDPWt_1FKiwhDph83XaGc0o0/edit?usp=sharing"",""งบพรบ!FO65"")"),0)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IFERROR(__xludf.DUMMYFUNCTION("IMPORTRANGE(""https://docs.google.com/spreadsheets/d/1MeEWN-I1oV_STSDYn1IFDPWt_1FKiwhDph83XaGc0o0/edit?usp=sharing"",""งบพรบ!FQ65"")"),0)</f>
        <v>0</v>
      </c>
      <c r="M407" s="93">
        <f ca="1">IFERROR(__xludf.DUMMYFUNCTION("IMPORTRANGE(""https://docs.google.com/spreadsheets/d/1MeEWN-I1oV_STSDYn1IFDPWt_1FKiwhDph83XaGc0o0/edit?usp=sharing"",""งบพรบ!FV65"")"),0)</f>
        <v>0</v>
      </c>
      <c r="N407" s="93">
        <f ca="1">IFERROR(__xludf.DUMMYFUNCTION("IMPORTRANGE(""https://docs.google.com/spreadsheets/d/1MeEWN-I1oV_STSDYn1IFDPWt_1FKiwhDph83XaGc0o0/edit?usp=sharing"",""งบพรบ!FX65"")"),0)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IFERROR(__xludf.DUMMYFUNCTION("IMPORTRANGE(""https://docs.google.com/spreadsheets/d/1MeEWN-I1oV_STSDYn1IFDPWt_1FKiwhDph83XaGc0o0/edit?usp=sharing"",""งบพรบ!FT65"")"),0)</f>
        <v>0</v>
      </c>
      <c r="M410" s="93">
        <f ca="1">IFERROR(__xludf.DUMMYFUNCTION("IMPORTRANGE(""https://docs.google.com/spreadsheets/d/1MeEWN-I1oV_STSDYn1IFDPWt_1FKiwhDph83XaGc0o0/edit?usp=sharing"",""งบพรบ!FW65"")"),0)</f>
        <v>0</v>
      </c>
      <c r="N410" s="93">
        <f ca="1">IFERROR(__xludf.DUMMYFUNCTION("IMPORTRANGE(""https://docs.google.com/spreadsheets/d/1MeEWN-I1oV_STSDYn1IFDPWt_1FKiwhDph83XaGc0o0/edit?usp=sharing"",""งบพรบ!FY65"")"),0)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498913</v>
      </c>
      <c r="M414" s="549">
        <f t="shared" ca="1" si="181"/>
        <v>498913</v>
      </c>
      <c r="N414" s="549">
        <f t="shared" si="181"/>
        <v>223868</v>
      </c>
      <c r="O414" s="549">
        <f ca="1">IF(L414&gt;0,N414*100/L414,0)</f>
        <v>44.871149879838768</v>
      </c>
      <c r="P414" s="549">
        <f ca="1">IF(M414&gt;0,N414*100/M414,0)</f>
        <v>44.871149879838768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61520</v>
      </c>
      <c r="O419" s="155">
        <f t="shared" ref="O419:O424" ca="1" si="185">IF(L419&gt;0,N419*100/L419,0)</f>
        <v>78.210017798118486</v>
      </c>
      <c r="P419" s="155">
        <f t="shared" ref="P419:P424" ca="1" si="186">IF(M419&gt;0,N419*100/M419,0)</f>
        <v>78.210017798118486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61520</v>
      </c>
      <c r="O421" s="93">
        <f t="shared" ca="1" si="185"/>
        <v>78.210017798118486</v>
      </c>
      <c r="P421" s="93">
        <f t="shared" ca="1" si="186"/>
        <v>78.210017798118486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61520</v>
      </c>
      <c r="O422" s="497">
        <f t="shared" ca="1" si="185"/>
        <v>78.210017798118486</v>
      </c>
      <c r="P422" s="497">
        <f t="shared" ca="1" si="186"/>
        <v>78.210017798118486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IFERROR(__xludf.DUMMYFUNCTION("IMPORTRANGE(""https://docs.google.com/spreadsheets/d/1QqKyyYR6Q21VydFLVH3TRQUabQu_ym0Zz7PgGX0-kHA/edit?usp=sharing"",""แผน!EY65"")"),78660)</f>
        <v>78660</v>
      </c>
      <c r="M424" s="93">
        <f ca="1">L424</f>
        <v>78660</v>
      </c>
      <c r="N424" s="93">
        <f>N425+N426+N427+N428</f>
        <v>61520</v>
      </c>
      <c r="O424" s="93">
        <f t="shared" ca="1" si="185"/>
        <v>78.210017798118486</v>
      </c>
      <c r="P424" s="93">
        <f t="shared" ca="1" si="186"/>
        <v>78.210017798118486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58820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2700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IFERROR(__xludf.DUMMYFUNCTION("IMPORTRANGE(""https://docs.google.com/spreadsheets/d/1QqKyyYR6Q21VydFLVH3TRQUabQu_ym0Zz7PgGX0-kHA/edit?usp=sharing"",""แผน!FC65"")"),20)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IFERROR(__xludf.DUMMYFUNCTION("IMPORTRANGE(""https://docs.google.com/spreadsheets/d/1QqKyyYR6Q21VydFLVH3TRQUabQu_ym0Zz7PgGX0-kHA/edit?usp=sharing"",""แผน!FD65"")"),0)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IFERROR(__xludf.DUMMYFUNCTION("IMPORTRANGE(""https://docs.google.com/spreadsheets/d/1QqKyyYR6Q21VydFLVH3TRQUabQu_ym0Zz7PgGX0-kHA/edit?usp=sharing"",""แผน!FG65"")"),2)</f>
        <v>2</v>
      </c>
      <c r="J440" s="215">
        <v>2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IFERROR(__xludf.DUMMYFUNCTION("IMPORTRANGE(""https://docs.google.com/spreadsheets/d/1QqKyyYR6Q21VydFLVH3TRQUabQu_ym0Zz7PgGX0-kHA/edit?usp=sharing"",""แผน!FJ65"")"),0)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IFERROR(__xludf.DUMMYFUNCTION("IMPORTRANGE(""https://docs.google.com/spreadsheets/d/1QqKyyYR6Q21VydFLVH3TRQUabQu_ym0Zz7PgGX0-kHA/edit?usp=sharing"",""แผน!FN65"")"),0)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IFERROR(__xludf.DUMMYFUNCTION("IMPORTRANGE(""https://docs.google.com/spreadsheets/d/1QqKyyYR6Q21VydFLVH3TRQUabQu_ym0Zz7PgGX0-kHA/edit?usp=sharing"",""แผน!FO65"")"),0)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IFERROR(__xludf.DUMMYFUNCTION("IMPORTRANGE(""https://docs.google.com/spreadsheets/d/1QqKyyYR6Q21VydFLVH3TRQUabQu_ym0Zz7PgGX0-kHA/edit?usp=sharing"",""แผน!FO65"")"),0)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IFERROR(__xludf.DUMMYFUNCTION("IMPORTRANGE(""https://docs.google.com/spreadsheets/d/1QqKyyYR6Q21VydFLVH3TRQUabQu_ym0Zz7PgGX0-kHA/edit?usp=sharing"",""แผน!FN65"")"),0)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IFERROR(__xludf.DUMMYFUNCTION("IMPORTRANGE(""https://docs.google.com/spreadsheets/d/1QqKyyYR6Q21VydFLVH3TRQUabQu_ym0Zz7PgGX0-kHA/edit?usp=sharing"",""แผน!FX65"")"),21)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IFERROR(__xludf.DUMMYFUNCTION("IMPORTRANGE(""https://docs.google.com/spreadsheets/d/1QqKyyYR6Q21VydFLVH3TRQUabQu_ym0Zz7PgGX0-kHA/edit?usp=sharing"",""แผน!FW65"")"),200)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179833</v>
      </c>
      <c r="M467" s="195">
        <f t="shared" ca="1" si="206"/>
        <v>179833</v>
      </c>
      <c r="N467" s="195">
        <f t="shared" si="206"/>
        <v>35138</v>
      </c>
      <c r="O467" s="195">
        <f t="shared" ref="O467:O472" ca="1" si="207">IF(L467&gt;0,N467*100/L467,0)</f>
        <v>19.539239183019802</v>
      </c>
      <c r="P467" s="195">
        <f t="shared" ref="P467:P472" ca="1" si="208">IF(M467&gt;0,N467*100/M467,0)</f>
        <v>19.539239183019802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179833</v>
      </c>
      <c r="M469" s="93">
        <f t="shared" ca="1" si="209"/>
        <v>179833</v>
      </c>
      <c r="N469" s="93">
        <f t="shared" si="209"/>
        <v>35138</v>
      </c>
      <c r="O469" s="93">
        <f t="shared" ca="1" si="207"/>
        <v>19.539239183019802</v>
      </c>
      <c r="P469" s="93">
        <f t="shared" ca="1" si="208"/>
        <v>19.539239183019802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179833</v>
      </c>
      <c r="M470" s="497">
        <f t="shared" ca="1" si="210"/>
        <v>179833</v>
      </c>
      <c r="N470" s="497">
        <f t="shared" si="210"/>
        <v>35138</v>
      </c>
      <c r="O470" s="497">
        <f t="shared" ca="1" si="207"/>
        <v>19.539239183019802</v>
      </c>
      <c r="P470" s="497">
        <f t="shared" ca="1" si="208"/>
        <v>19.539239183019802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IFERROR(__xludf.DUMMYFUNCTION("IMPORTRANGE(""https://docs.google.com/spreadsheets/d/1QqKyyYR6Q21VydFLVH3TRQUabQu_ym0Zz7PgGX0-kHA/edit?usp=sharing"",""แผน!FS65"")"),179833)</f>
        <v>179833</v>
      </c>
      <c r="M472" s="93">
        <f ca="1">L472</f>
        <v>179833</v>
      </c>
      <c r="N472" s="93">
        <f>N473+N474+N475+N476</f>
        <v>35138</v>
      </c>
      <c r="O472" s="93">
        <f t="shared" ca="1" si="207"/>
        <v>19.539239183019802</v>
      </c>
      <c r="P472" s="93">
        <f t="shared" ca="1" si="208"/>
        <v>19.539239183019802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10235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IFERROR(__xludf.DUMMYFUNCTION("IMPORTRANGE(""https://docs.google.com/spreadsheets/d/1QqKyyYR6Q21VydFLVH3TRQUabQu_ym0Zz7PgGX0-kHA/edit?usp=sharing"",""แผน!FY65"")"),180)</f>
        <v>180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IFERROR(__xludf.DUMMYFUNCTION("IMPORTRANGE(""https://docs.google.com/spreadsheets/d/1QqKyyYR6Q21VydFLVH3TRQUabQu_ym0Zz7PgGX0-kHA/edit?usp=sharing"",""แผน!FZ65"")"),18)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IFERROR(__xludf.DUMMYFUNCTION("IMPORTRANGE(""https://docs.google.com/spreadsheets/d/1QqKyyYR6Q21VydFLVH3TRQUabQu_ym0Zz7PgGX0-kHA/edit?usp=sharing"",""แผน!GA65"")"),20)</f>
        <v>20</v>
      </c>
      <c r="J487" s="215"/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IFERROR(__xludf.DUMMYFUNCTION("IMPORTRANGE(""https://docs.google.com/spreadsheets/d/1QqKyyYR6Q21VydFLVH3TRQUabQu_ym0Zz7PgGX0-kHA/edit?usp=sharing"",""แผน!GB65"")"),2)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IFERROR(__xludf.DUMMYFUNCTION("IMPORTRANGE(""https://docs.google.com/spreadsheets/d/1QqKyyYR6Q21VydFLVH3TRQUabQu_ym0Zz7PgGX0-kHA/edit?usp=sharing"",""แผน!FY65"")"),180)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IFERROR(__xludf.DUMMYFUNCTION("IMPORTRANGE(""https://docs.google.com/spreadsheets/d/1QqKyyYR6Q21VydFLVH3TRQUabQu_ym0Zz7PgGX0-kHA/edit?usp=sharing"",""แผน!GA65"")"),20)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123210</v>
      </c>
      <c r="O544" s="155">
        <f t="shared" ref="O544:O549" ca="1" si="237">IF(L544&gt;0,N544*100/L544,0)</f>
        <v>56.440677966101696</v>
      </c>
      <c r="P544" s="155">
        <f t="shared" ref="P544:P549" ca="1" si="238">IF(M544&gt;0,N544*100/M544,0)</f>
        <v>56.440677966101696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123210</v>
      </c>
      <c r="O546" s="93">
        <f t="shared" ca="1" si="237"/>
        <v>56.440677966101696</v>
      </c>
      <c r="P546" s="93">
        <f t="shared" ca="1" si="238"/>
        <v>56.440677966101696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123210</v>
      </c>
      <c r="O547" s="497">
        <f t="shared" ca="1" si="237"/>
        <v>56.440677966101696</v>
      </c>
      <c r="P547" s="497">
        <f t="shared" ca="1" si="238"/>
        <v>56.440677966101696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IFERROR(__xludf.DUMMYFUNCTION("IMPORTRANGE(""https://docs.google.com/spreadsheets/d/1QqKyyYR6Q21VydFLVH3TRQUabQu_ym0Zz7PgGX0-kHA/edit?usp=sharing"",""แผน!HB65"")"),218300)</f>
        <v>218300</v>
      </c>
      <c r="M549" s="93">
        <f ca="1">L549</f>
        <v>218300</v>
      </c>
      <c r="N549" s="93">
        <f>N550+N551+N552+N553+N554</f>
        <v>123210</v>
      </c>
      <c r="O549" s="93">
        <f t="shared" ca="1" si="237"/>
        <v>56.440677966101696</v>
      </c>
      <c r="P549" s="93">
        <f t="shared" ca="1" si="238"/>
        <v>56.440677966101696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78000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45210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189.09</v>
      </c>
      <c r="J592" s="703">
        <f t="shared" si="253"/>
        <v>188.75</v>
      </c>
      <c r="K592" s="672">
        <f t="shared" ref="K592:K594" ca="1" si="254">IF(I592&gt;0,J592*100/I592,0)</f>
        <v>99.820191443228097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IFERROR(__xludf.DUMMYFUNCTION("IMPORTRANGE(""https://docs.google.com/spreadsheets/d/1QqKyyYR6Q21VydFLVH3TRQUabQu_ym0Zz7PgGX0-kHA/edit?usp=sharing"",""แผน!HJ65"")"),189.09)</f>
        <v>189.09</v>
      </c>
      <c r="J593" s="193">
        <f t="shared" ref="J593:J594" si="255">J595+J603+J609</f>
        <v>188.75</v>
      </c>
      <c r="K593" s="411">
        <f t="shared" ca="1" si="254"/>
        <v>99.820191443228097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IFERROR(__xludf.DUMMYFUNCTION("IMPORTRANGE(""https://docs.google.com/spreadsheets/d/1QqKyyYR6Q21VydFLVH3TRQUabQu_ym0Zz7PgGX0-kHA/edit?usp=sharing"",""แผน!HI65"")"),21)</f>
        <v>21</v>
      </c>
      <c r="J594" s="193">
        <f t="shared" si="255"/>
        <v>21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187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169.5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17.5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5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1.75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1.75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IFERROR(__xludf.DUMMYFUNCTION("IMPORTRANGE(""https://docs.google.com/spreadsheets/d/1QqKyyYR6Q21VydFLVH3TRQUabQu_ym0Zz7PgGX0-kHA/edit?usp=sharing"",""แผน!HS65"")"),0)</f>
        <v>0</v>
      </c>
      <c r="J647" s="270">
        <f ca="1">IFERROR(__xludf.DUMMYFUNCTION("IMPORTRANGE(""https://docs.google.com/spreadsheets/d/1XWAQStnk-4SwqDmLtmXYiTMKHgktTP8We1SCoS47DrQ/edit?usp=sharing"",""จัดที่ดิน!AU65"")"),0)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IFERROR(__xludf.DUMMYFUNCTION("IMPORTRANGE(""https://docs.google.com/spreadsheets/d/1QqKyyYR6Q21VydFLVH3TRQUabQu_ym0Zz7PgGX0-kHA/edit?usp=sharing"",""แผน!HS65"")"),0)</f>
        <v>0</v>
      </c>
      <c r="J649" s="270">
        <f ca="1">IFERROR(__xludf.DUMMYFUNCTION("IMPORTRANGE(""https://docs.google.com/spreadsheets/d/1XWAQStnk-4SwqDmLtmXYiTMKHgktTP8We1SCoS47DrQ/edit?usp=sharing"",""จัดที่ดิน!AW65"")"),0)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IFERROR(__xludf.DUMMYFUNCTION("IMPORTRANGE(""https://docs.google.com/spreadsheets/d/1QqKyyYR6Q21VydFLVH3TRQUabQu_ym0Zz7PgGX0-kHA/edit?usp=sharing"",""แผน!HS65"")"),0)</f>
        <v>0</v>
      </c>
      <c r="J651" s="270">
        <f ca="1">IFERROR(__xludf.DUMMYFUNCTION("IMPORTRANGE(""https://docs.google.com/spreadsheets/d/1XWAQStnk-4SwqDmLtmXYiTMKHgktTP8We1SCoS47DrQ/edit?usp=sharing"",""จัดที่ดิน!AY65"")"),0)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4000</v>
      </c>
      <c r="O655" s="195">
        <f t="shared" ref="O655:O660" ca="1" si="274">IF(L655&gt;0,N655*100/L655,0)</f>
        <v>42.553191489361701</v>
      </c>
      <c r="P655" s="195">
        <f t="shared" ref="P655:P660" ca="1" si="275">IF(M655&gt;0,N655*100/M655,0)</f>
        <v>42.553191489361701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4000</v>
      </c>
      <c r="O657" s="93">
        <f t="shared" ca="1" si="274"/>
        <v>42.553191489361701</v>
      </c>
      <c r="P657" s="93">
        <f t="shared" ca="1" si="275"/>
        <v>42.553191489361701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4000</v>
      </c>
      <c r="O658" s="497">
        <f t="shared" ca="1" si="274"/>
        <v>42.553191489361701</v>
      </c>
      <c r="P658" s="497">
        <f t="shared" ca="1" si="275"/>
        <v>42.553191489361701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IFERROR(__xludf.DUMMYFUNCTION("IMPORTRANGE(""https://docs.google.com/spreadsheets/d/1QqKyyYR6Q21VydFLVH3TRQUabQu_ym0Zz7PgGX0-kHA/edit?usp=sharing"",""แผน!HV65"")"),9400)</f>
        <v>9400</v>
      </c>
      <c r="M660" s="93">
        <f ca="1">L660</f>
        <v>9400</v>
      </c>
      <c r="N660" s="93">
        <f>N661+N662+N663+N664</f>
        <v>4000</v>
      </c>
      <c r="O660" s="93">
        <f t="shared" ca="1" si="274"/>
        <v>42.553191489361701</v>
      </c>
      <c r="P660" s="93">
        <f t="shared" ca="1" si="275"/>
        <v>42.553191489361701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IFERROR(__xludf.DUMMYFUNCTION("IMPORTRANGE(""https://docs.google.com/spreadsheets/d/1QqKyyYR6Q21VydFLVH3TRQUabQu_ym0Zz7PgGX0-kHA/edit?usp=sharing"",""แผน!IA65"")"),50)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IFERROR(__xludf.DUMMYFUNCTION("IMPORTRANGE(""https://docs.google.com/spreadsheets/d/1QqKyyYR6Q21VydFLVH3TRQUabQu_ym0Zz7PgGX0-kHA/edit?usp=sharing"",""แผน!HZ65"")"),4)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IFERROR(__xludf.DUMMYFUNCTION("IMPORTRANGE(""https://docs.google.com/spreadsheets/d/1QqKyyYR6Q21VydFLVH3TRQUabQu_ym0Zz7PgGX0-kHA/edit?usp=sharing"",""แผน!HZ65"")"),4)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12720</v>
      </c>
      <c r="M685" s="195">
        <f t="shared" ca="1" si="282"/>
        <v>12720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12720</v>
      </c>
      <c r="M687" s="93">
        <f t="shared" ca="1" si="285"/>
        <v>12720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12720</v>
      </c>
      <c r="M688" s="497">
        <f t="shared" ca="1" si="286"/>
        <v>12720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IFERROR(__xludf.DUMMYFUNCTION("IMPORTRANGE(""https://docs.google.com/spreadsheets/d/1QqKyyYR6Q21VydFLVH3TRQUabQu_ym0Zz7PgGX0-kHA/edit?usp=sharing"",""แผน!HW65"")"),12720)</f>
        <v>12720</v>
      </c>
      <c r="M690" s="93">
        <f ca="1">L690</f>
        <v>12720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IFERROR(__xludf.DUMMYFUNCTION("IMPORTRANGE(""https://docs.google.com/spreadsheets/d/1QqKyyYR6Q21VydFLVH3TRQUabQu_ym0Zz7PgGX0-kHA/edit?usp=sharing"",""แผน!IC65"")"),0)</f>
        <v>0</v>
      </c>
      <c r="J699" s="270">
        <f ca="1">IFERROR(__xludf.DUMMYFUNCTION("IMPORTRANGE(""https://docs.google.com/spreadsheets/d/1XWAQStnk-4SwqDmLtmXYiTMKHgktTP8We1SCoS47DrQ/edit?usp=sharing"",""จัดที่ดิน!BB65"")"),0)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IFERROR(__xludf.DUMMYFUNCTION("IMPORTRANGE(""https://docs.google.com/spreadsheets/d/1QqKyyYR6Q21VydFLVH3TRQUabQu_ym0Zz7PgGX0-kHA/edit?usp=sharing"",""แผน!ID65"")"),35)</f>
        <v>35</v>
      </c>
      <c r="J700" s="270">
        <f ca="1">IFERROR(__xludf.DUMMYFUNCTION("IMPORTRANGE(""https://docs.google.com/spreadsheets/d/1XWAQStnk-4SwqDmLtmXYiTMKHgktTP8We1SCoS47DrQ/edit?usp=sharing"",""จัดที่ดิน!BD65"")"),2)</f>
        <v>2</v>
      </c>
      <c r="K700" s="497">
        <f t="shared" ca="1" si="290"/>
        <v>5.7142857142857144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IFERROR(__xludf.DUMMYFUNCTION("IMPORTRANGE(""https://docs.google.com/spreadsheets/d/1QqKyyYR6Q21VydFLVH3TRQUabQu_ym0Zz7PgGX0-kHA/edit?usp=sharing"",""แผน!IE65"")"),0)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IFERROR(__xludf.DUMMYFUNCTION("IMPORTRANGE(""https://docs.google.com/spreadsheets/d/1QqKyyYR6Q21VydFLVH3TRQUabQu_ym0Zz7PgGX0-kHA/edit?usp=sharing"",""แผน!IF65"")"),0)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IFERROR(__xludf.DUMMYFUNCTION("IMPORTRANGE(""https://docs.google.com/spreadsheets/d/1QqKyyYR6Q21VydFLVH3TRQUabQu_ym0Zz7PgGX0-kHA/edit?usp=sharing"",""แผน!IG65"")"),0)</f>
        <v>0</v>
      </c>
      <c r="J707" s="215"/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IFERROR(__xludf.DUMMYFUNCTION("IMPORTRANGE(""https://docs.google.com/spreadsheets/d/1QqKyyYR6Q21VydFLVH3TRQUabQu_ym0Zz7PgGX0-kHA/edit?usp=sharing"",""แผน!IH65"")"),0)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IFERROR(__xludf.DUMMYFUNCTION("IMPORTRANGE(""https://docs.google.com/spreadsheets/d/1QqKyyYR6Q21VydFLVH3TRQUabQu_ym0Zz7PgGX0-kHA/edit?usp=sharing"",""แผน!II65"")"),0)</f>
        <v>0</v>
      </c>
      <c r="J720" s="270">
        <f ca="1">IFERROR(__xludf.DUMMYFUNCTION("IMPORTRANGE(""https://docs.google.com/spreadsheets/d/1XWAQStnk-4SwqDmLtmXYiTMKHgktTP8We1SCoS47DrQ/edit?usp=sharing"",""จัดที่ดิน!BH65"")"),0)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IFERROR(__xludf.DUMMYFUNCTION("IMPORTRANGE(""https://docs.google.com/spreadsheets/d/1QqKyyYR6Q21VydFLVH3TRQUabQu_ym0Zz7PgGX0-kHA/edit?usp=sharing"",""แผน!IJ65"")"),16)</f>
        <v>16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IFERROR(__xludf.DUMMYFUNCTION("IMPORTRANGE(""https://docs.google.com/spreadsheets/d/1QqKyyYR6Q21VydFLVH3TRQUabQu_ym0Zz7PgGX0-kHA/edit?usp=sharing"",""แผน!IK65"")"),224)</f>
        <v>224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IFERROR(__xludf.DUMMYFUNCTION("IMPORTRANGE(""https://docs.google.com/spreadsheets/d/1QqKyyYR6Q21VydFLVH3TRQUabQu_ym0Zz7PgGX0-kHA/edit?usp=sharing"",""แผน!IL65"")"),12)</f>
        <v>12</v>
      </c>
      <c r="J723" s="270">
        <f ca="1">IFERROR(__xludf.DUMMYFUNCTION("IMPORTRANGE(""https://docs.google.com/spreadsheets/d/1XWAQStnk-4SwqDmLtmXYiTMKHgktTP8We1SCoS47DrQ/edit?usp=sharing"",""จัดที่ดิน!BM65"")"),0)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IFERROR(__xludf.DUMMYFUNCTION("IMPORTRANGE(""https://docs.google.com/spreadsheets/d/1XWAQStnk-4SwqDmLtmXYiTMKHgktTP8We1SCoS47DrQ/edit?usp=sharing"",""จัดที่ดิน!BN65"")"),0)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IFERROR(__xludf.DUMMYFUNCTION("IMPORTRANGE(""https://docs.google.com/spreadsheets/d/1QqKyyYR6Q21VydFLVH3TRQUabQu_ym0Zz7PgGX0-kHA/edit?usp=sharing"",""แผน!IM65"")"),168)</f>
        <v>168</v>
      </c>
      <c r="J725" s="270">
        <f ca="1">IFERROR(__xludf.DUMMYFUNCTION("IMPORTRANGE(""https://docs.google.com/spreadsheets/d/1XWAQStnk-4SwqDmLtmXYiTMKHgktTP8We1SCoS47DrQ/edit?usp=sharing"",""จัดที่ดิน!BO65"")"),0)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IFERROR(__xludf.DUMMYFUNCTION("IMPORTRANGE(""https://docs.google.com/spreadsheets/d/1QqKyyYR6Q21VydFLVH3TRQUabQu_ym0Zz7PgGX0-kHA/edit?usp=sharing"",""แผน!IN65"")"),4)</f>
        <v>4</v>
      </c>
      <c r="J726" s="270">
        <f ca="1">IFERROR(__xludf.DUMMYFUNCTION("IMPORTRANGE(""https://docs.google.com/spreadsheets/d/1XWAQStnk-4SwqDmLtmXYiTMKHgktTP8We1SCoS47DrQ/edit?usp=sharing"",""จัดที่ดิน!BR65"")"),0)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IFERROR(__xludf.DUMMYFUNCTION("IMPORTRANGE(""https://docs.google.com/spreadsheets/d/1QqKyyYR6Q21VydFLVH3TRQUabQu_ym0Zz7PgGX0-kHA/edit?usp=sharing"",""แผน!IO65"")"),56)</f>
        <v>56</v>
      </c>
      <c r="J728" s="270">
        <f ca="1">IFERROR(__xludf.DUMMYFUNCTION("IMPORTRANGE(""https://docs.google.com/spreadsheets/d/1XWAQStnk-4SwqDmLtmXYiTMKHgktTP8We1SCoS47DrQ/edit?usp=sharing"",""จัดที่ดิน!BT65"")"),0)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IFERROR(__xludf.DUMMYFUNCTION("IMPORTRANGE(""https://docs.google.com/spreadsheets/d/1QqKyyYR6Q21VydFLVH3TRQUabQu_ym0Zz7PgGX0-kHA/edit?usp=sharing"",""แผน!IP65"")"),0)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IFERROR(__xludf.DUMMYFUNCTION("IMPORTRANGE(""https://docs.google.com/spreadsheets/d/1QqKyyYR6Q21VydFLVH3TRQUabQu_ym0Zz7PgGX0-kHA/edit?usp=sharing"",""แผน!JN65"")"),0)</f>
        <v>0</v>
      </c>
      <c r="J800" s="184">
        <f ca="1">IFERROR(__xludf.DUMMYFUNCTION("IMPORTRANGE(""https://docs.google.com/spreadsheets/d/1MaWodYyGHDf7siQLGxnXhG4mBNTNIuy296niS2xXulU/edit?usp=sharing"",""RTK!H65"")"),0)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70">
        <f ca="1">IFERROR(__xludf.DUMMYFUNCTION("IMPORTRANGE(""https://docs.google.com/spreadsheets/d/19vJNZY_5yjcGF2XGBMNZRCAIB0Kwfpjp8YEOfu-bneM/edit?usp=sharing"",""งานกองทุน!F65"")"),963105.33)</f>
        <v>963105.33</v>
      </c>
      <c r="K821" s="497">
        <f t="shared" ref="K821:K828" ca="1" si="335">IF(I821&gt;0,J821*100/I821,0)</f>
        <v>78.788031468081385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IFERROR(__xludf.DUMMYFUNCTION("IMPORTRANGE(""https://docs.google.com/spreadsheets/d/19vJNZY_5yjcGF2XGBMNZRCAIB0Kwfpjp8YEOfu-bneM/edit?usp=sharing"",""งานกองทุน!C65"")"),95)</f>
        <v>95</v>
      </c>
      <c r="J822" s="270">
        <f ca="1">IFERROR(__xludf.DUMMYFUNCTION("IMPORTRANGE(""https://docs.google.com/spreadsheets/d/19vJNZY_5yjcGF2XGBMNZRCAIB0Kwfpjp8YEOfu-bneM/edit?usp=sharing"",""งานกองทุน!E65"")"),71)</f>
        <v>71</v>
      </c>
      <c r="K822" s="497">
        <f t="shared" ca="1" si="335"/>
        <v>74.736842105263165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70">
        <f ca="1">IFERROR(__xludf.DUMMYFUNCTION("IMPORTRANGE(""https://docs.google.com/spreadsheets/d/19vJNZY_5yjcGF2XGBMNZRCAIB0Kwfpjp8YEOfu-bneM/edit?usp=sharing"",""งานกองทุน!K65"")"),154596.03)</f>
        <v>154596.03</v>
      </c>
      <c r="K823" s="497">
        <f t="shared" ca="1" si="335"/>
        <v>38.500487058610531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IFERROR(__xludf.DUMMYFUNCTION("IMPORTRANGE(""https://docs.google.com/spreadsheets/d/19vJNZY_5yjcGF2XGBMNZRCAIB0Kwfpjp8YEOfu-bneM/edit?usp=sharing"",""งานกองทุน!H65"")"),21)</f>
        <v>21</v>
      </c>
      <c r="J824" s="270">
        <f ca="1">IFERROR(__xludf.DUMMYFUNCTION("IMPORTRANGE(""https://docs.google.com/spreadsheets/d/19vJNZY_5yjcGF2XGBMNZRCAIB0Kwfpjp8YEOfu-bneM/edit?usp=sharing"",""งานกองทุน!J65"")"),13)</f>
        <v>13</v>
      </c>
      <c r="K824" s="497">
        <f t="shared" ca="1" si="335"/>
        <v>61.904761904761905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IFERROR(__xludf.DUMMYFUNCTION("IMPORTRANGE(""https://docs.google.com/spreadsheets/d/19vJNZY_5yjcGF2XGBMNZRCAIB0Kwfpjp8YEOfu-bneM/edit?usp=sharing"",""งานกองทุน!N65"")"),1118.75)</f>
        <v>1118.75</v>
      </c>
      <c r="J825" s="270">
        <f ca="1">IFERROR(__xludf.DUMMYFUNCTION("IMPORTRANGE(""https://docs.google.com/spreadsheets/d/19vJNZY_5yjcGF2XGBMNZRCAIB0Kwfpjp8YEOfu-bneM/edit?usp=sharing"",""งานกองทุน!P65"")"),126733.77)</f>
        <v>126733.77</v>
      </c>
      <c r="K825" s="497">
        <f t="shared" ca="1" si="335"/>
        <v>11328.158212290502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IFERROR(__xludf.DUMMYFUNCTION("IMPORTRANGE(""https://docs.google.com/spreadsheets/d/19vJNZY_5yjcGF2XGBMNZRCAIB0Kwfpjp8YEOfu-bneM/edit?usp=sharing"",""งานกองทุน!M65"")"),1)</f>
        <v>1</v>
      </c>
      <c r="J826" s="270">
        <f ca="1">IFERROR(__xludf.DUMMYFUNCTION("IMPORTRANGE(""https://docs.google.com/spreadsheets/d/19vJNZY_5yjcGF2XGBMNZRCAIB0Kwfpjp8YEOfu-bneM/edit?usp=sharing"",""งานกองทุน!O65"")"),8)</f>
        <v>8</v>
      </c>
      <c r="K826" s="497">
        <f t="shared" ca="1" si="335"/>
        <v>800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IFERROR(__xludf.DUMMYFUNCTION("IMPORTRANGE(""https://docs.google.com/spreadsheets/d/19vJNZY_5yjcGF2XGBMNZRCAIB0Kwfpjp8YEOfu-bneM/edit?usp=sharing"",""งานกองทุน!S65"")"),1000000)</f>
        <v>1000000</v>
      </c>
      <c r="J827" s="270">
        <f ca="1">IFERROR(__xludf.DUMMYFUNCTION("IMPORTRANGE(""https://docs.google.com/spreadsheets/d/19vJNZY_5yjcGF2XGBMNZRCAIB0Kwfpjp8YEOfu-bneM/edit?usp=sharing"",""งานกองทุน!U65"")"),1000000)</f>
        <v>1000000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IFERROR(__xludf.DUMMYFUNCTION("IMPORTRANGE(""https://docs.google.com/spreadsheets/d/19vJNZY_5yjcGF2XGBMNZRCAIB0Kwfpjp8YEOfu-bneM/edit?usp=sharing"",""งานกองทุน!R65"")"),36)</f>
        <v>36</v>
      </c>
      <c r="J828" s="501">
        <f ca="1">IFERROR(__xludf.DUMMYFUNCTION("IMPORTRANGE(""https://docs.google.com/spreadsheets/d/19vJNZY_5yjcGF2XGBMNZRCAIB0Kwfpjp8YEOfu-bneM/edit?usp=sharing"",""งานกองทุน!T65"")"),28)</f>
        <v>28</v>
      </c>
      <c r="K828" s="502">
        <f t="shared" ca="1" si="335"/>
        <v>77.777777777777771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4BAA-F8FA-4BEB-9CC4-0B2C07A6F397}">
  <sheetPr codeName="Sheet15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3120965</v>
      </c>
      <c r="M8" s="22">
        <f t="shared" ca="1" si="0"/>
        <v>3216483</v>
      </c>
      <c r="N8" s="22">
        <f t="shared" ca="1" si="0"/>
        <v>2343355.9900000002</v>
      </c>
      <c r="O8" s="22">
        <f t="shared" ref="O8:O16" ca="1" si="1">IF(L8&gt;0,N8*100/L8,0)</f>
        <v>75.084340580557623</v>
      </c>
      <c r="P8" s="22">
        <f t="shared" ref="P8:P16" ca="1" si="2">IF(M8&gt;0,N8*100/M8,0)</f>
        <v>72.854605169683794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3120965</v>
      </c>
      <c r="M10" s="30">
        <f t="shared" ca="1" si="3"/>
        <v>3216483</v>
      </c>
      <c r="N10" s="30">
        <f t="shared" ca="1" si="3"/>
        <v>2343355.9900000002</v>
      </c>
      <c r="O10" s="30">
        <f t="shared" ca="1" si="1"/>
        <v>75.084340580557623</v>
      </c>
      <c r="P10" s="30">
        <f t="shared" ca="1" si="2"/>
        <v>72.854605169683794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2908765</v>
      </c>
      <c r="M11" s="497">
        <f t="shared" ca="1" si="4"/>
        <v>3004283</v>
      </c>
      <c r="N11" s="497">
        <f t="shared" ca="1" si="4"/>
        <v>2131155.9900000002</v>
      </c>
      <c r="O11" s="497">
        <f t="shared" ca="1" si="1"/>
        <v>73.266695315709597</v>
      </c>
      <c r="P11" s="497">
        <f t="shared" ca="1" si="2"/>
        <v>70.937258240984633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2908765</v>
      </c>
      <c r="M13" s="93">
        <f t="shared" ca="1" si="5"/>
        <v>3004283</v>
      </c>
      <c r="N13" s="93">
        <f t="shared" ca="1" si="5"/>
        <v>2131155.9900000002</v>
      </c>
      <c r="O13" s="93">
        <f t="shared" ca="1" si="1"/>
        <v>73.266695315709597</v>
      </c>
      <c r="P13" s="93">
        <f t="shared" ca="1" si="2"/>
        <v>70.937258240984633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212200</v>
      </c>
      <c r="M14" s="497">
        <f t="shared" ca="1" si="6"/>
        <v>212200</v>
      </c>
      <c r="N14" s="497">
        <f t="shared" ca="1" si="6"/>
        <v>212200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212200</v>
      </c>
      <c r="M16" s="52">
        <f t="shared" ca="1" si="7"/>
        <v>212200</v>
      </c>
      <c r="N16" s="52">
        <f t="shared" ca="1" si="7"/>
        <v>212200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2270472</v>
      </c>
      <c r="M18" s="22">
        <f t="shared" ca="1" si="8"/>
        <v>2365990</v>
      </c>
      <c r="N18" s="22">
        <f t="shared" ca="1" si="8"/>
        <v>1789198.99</v>
      </c>
      <c r="O18" s="22">
        <f t="shared" ref="O18:O26" ca="1" si="9">IF(L18&gt;0,N18*100/L18,0)</f>
        <v>78.802953306625227</v>
      </c>
      <c r="P18" s="22">
        <f t="shared" ref="P18:P26" ca="1" si="10">IF(M18&gt;0,N18*100/M18,0)</f>
        <v>75.621578704897317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2270472</v>
      </c>
      <c r="M20" s="30">
        <f t="shared" ca="1" si="11"/>
        <v>2365990</v>
      </c>
      <c r="N20" s="30">
        <f t="shared" ca="1" si="11"/>
        <v>1789198.99</v>
      </c>
      <c r="O20" s="30">
        <f t="shared" ca="1" si="9"/>
        <v>78.802953306625227</v>
      </c>
      <c r="P20" s="30">
        <f t="shared" ca="1" si="10"/>
        <v>75.621578704897317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2058272</v>
      </c>
      <c r="M21" s="497">
        <f t="shared" ca="1" si="12"/>
        <v>2153790</v>
      </c>
      <c r="N21" s="497">
        <f t="shared" ca="1" si="12"/>
        <v>1576998.99</v>
      </c>
      <c r="O21" s="497">
        <f t="shared" ca="1" si="9"/>
        <v>76.617618565476278</v>
      </c>
      <c r="P21" s="497">
        <f t="shared" ca="1" si="10"/>
        <v>73.219719192678951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2058272</v>
      </c>
      <c r="M23" s="93">
        <f t="shared" ca="1" si="13"/>
        <v>2153790</v>
      </c>
      <c r="N23" s="93">
        <f t="shared" ca="1" si="13"/>
        <v>1576998.99</v>
      </c>
      <c r="O23" s="93">
        <f t="shared" ca="1" si="9"/>
        <v>76.617618565476278</v>
      </c>
      <c r="P23" s="93">
        <f t="shared" ca="1" si="10"/>
        <v>73.219719192678951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212200</v>
      </c>
      <c r="M24" s="497">
        <f t="shared" ca="1" si="14"/>
        <v>212200</v>
      </c>
      <c r="N24" s="497">
        <f t="shared" ca="1" si="14"/>
        <v>212200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212200</v>
      </c>
      <c r="M26" s="52">
        <f t="shared" ca="1" si="15"/>
        <v>212200</v>
      </c>
      <c r="N26" s="52">
        <f t="shared" ca="1" si="15"/>
        <v>212200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850493</v>
      </c>
      <c r="M28" s="22">
        <f t="shared" ca="1" si="16"/>
        <v>850493</v>
      </c>
      <c r="N28" s="22">
        <f t="shared" si="16"/>
        <v>554157</v>
      </c>
      <c r="O28" s="22">
        <f t="shared" ref="O28:O37" ca="1" si="17">IF(L28&gt;0,N28*100/L28,0)</f>
        <v>65.157150029453504</v>
      </c>
      <c r="P28" s="22">
        <f t="shared" ref="P28:P37" ca="1" si="18">IF(M28&gt;0,N28*100/M28,0)</f>
        <v>65.157150029453504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850493</v>
      </c>
      <c r="M30" s="30">
        <f t="shared" ca="1" si="19"/>
        <v>850493</v>
      </c>
      <c r="N30" s="30">
        <f t="shared" si="19"/>
        <v>554157</v>
      </c>
      <c r="O30" s="30">
        <f t="shared" ca="1" si="17"/>
        <v>65.157150029453504</v>
      </c>
      <c r="P30" s="30">
        <f t="shared" ca="1" si="18"/>
        <v>65.157150029453504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850493</v>
      </c>
      <c r="M31" s="497">
        <f t="shared" ca="1" si="20"/>
        <v>850493</v>
      </c>
      <c r="N31" s="497">
        <f t="shared" si="20"/>
        <v>554157</v>
      </c>
      <c r="O31" s="497">
        <f t="shared" ca="1" si="17"/>
        <v>65.157150029453504</v>
      </c>
      <c r="P31" s="497">
        <f t="shared" ca="1" si="18"/>
        <v>65.157150029453504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850493</v>
      </c>
      <c r="M33" s="93">
        <f t="shared" ca="1" si="21"/>
        <v>850493</v>
      </c>
      <c r="N33" s="93">
        <f t="shared" si="21"/>
        <v>554157</v>
      </c>
      <c r="O33" s="93">
        <f t="shared" ca="1" si="17"/>
        <v>65.157150029453504</v>
      </c>
      <c r="P33" s="93">
        <f t="shared" ca="1" si="18"/>
        <v>65.157150029453504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2270472</v>
      </c>
      <c r="M37" s="59">
        <f t="shared" ca="1" si="24"/>
        <v>2365990</v>
      </c>
      <c r="N37" s="59">
        <f t="shared" ca="1" si="24"/>
        <v>1789198.99</v>
      </c>
      <c r="O37" s="59">
        <f t="shared" ca="1" si="17"/>
        <v>78.802953306625227</v>
      </c>
      <c r="P37" s="59">
        <f t="shared" ca="1" si="18"/>
        <v>75.621578704897317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328042</v>
      </c>
      <c r="M41" s="85">
        <f t="shared" ca="1" si="25"/>
        <v>335830</v>
      </c>
      <c r="N41" s="85">
        <f t="shared" ca="1" si="25"/>
        <v>223489</v>
      </c>
      <c r="O41" s="85">
        <f t="shared" ref="O41:O49" ca="1" si="26">IF(L41&gt;0,N41*100/L41,0)</f>
        <v>68.128166515263288</v>
      </c>
      <c r="P41" s="85">
        <f t="shared" ref="P41:P49" ca="1" si="27">IF(M41&gt;0,N41*100/M41,0)</f>
        <v>66.548253580680708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328042</v>
      </c>
      <c r="M43" s="92">
        <f t="shared" ca="1" si="28"/>
        <v>335830</v>
      </c>
      <c r="N43" s="92">
        <f t="shared" ca="1" si="28"/>
        <v>223489</v>
      </c>
      <c r="O43" s="92">
        <f t="shared" ca="1" si="26"/>
        <v>68.128166515263288</v>
      </c>
      <c r="P43" s="92">
        <f t="shared" ca="1" si="27"/>
        <v>66.548253580680708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328042</v>
      </c>
      <c r="M44" s="497">
        <f t="shared" ca="1" si="29"/>
        <v>335830</v>
      </c>
      <c r="N44" s="497">
        <f t="shared" ca="1" si="29"/>
        <v>223489</v>
      </c>
      <c r="O44" s="497">
        <f t="shared" ca="1" si="26"/>
        <v>68.128166515263288</v>
      </c>
      <c r="P44" s="497">
        <f t="shared" ca="1" si="27"/>
        <v>66.548253580680708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IFERROR(__xludf.DUMMYFUNCTION("IMPORTRANGE(""https://docs.google.com/spreadsheets/d/1MeEWN-I1oV_STSDYn1IFDPWt_1FKiwhDph83XaGc0o0/edit?usp=sharing"",""งบพรบ!M66"")"),328042)</f>
        <v>328042</v>
      </c>
      <c r="M46" s="93">
        <f ca="1">IFERROR(__xludf.DUMMYFUNCTION("IMPORTRANGE(""https://docs.google.com/spreadsheets/d/1MeEWN-I1oV_STSDYn1IFDPWt_1FKiwhDph83XaGc0o0/edit?usp=sharing"",""งบพรบ!R66"")"),335830)</f>
        <v>335830</v>
      </c>
      <c r="N46" s="93">
        <f ca="1">IFERROR(__xludf.DUMMYFUNCTION("IMPORTRANGE(""https://docs.google.com/spreadsheets/d/1MeEWN-I1oV_STSDYn1IFDPWt_1FKiwhDph83XaGc0o0/edit?usp=sharing"",""งบพรบ!T66"")"),223489)</f>
        <v>223489</v>
      </c>
      <c r="O46" s="93">
        <f t="shared" ca="1" si="26"/>
        <v>68.128166515263288</v>
      </c>
      <c r="P46" s="93">
        <f t="shared" ca="1" si="27"/>
        <v>66.548253580680708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IFERROR(__xludf.DUMMYFUNCTION("IMPORTRANGE(""https://docs.google.com/spreadsheets/d/1MeEWN-I1oV_STSDYn1IFDPWt_1FKiwhDph83XaGc0o0/edit?usp=sharing"",""งบพรบ!P66"")"),0)</f>
        <v>0</v>
      </c>
      <c r="M49" s="52">
        <f ca="1">IFERROR(__xludf.DUMMYFUNCTION("IMPORTRANGE(""https://docs.google.com/spreadsheets/d/1MeEWN-I1oV_STSDYn1IFDPWt_1FKiwhDph83XaGc0o0/edit?usp=sharing"",""งบพรบ!S66"")"),0)</f>
        <v>0</v>
      </c>
      <c r="N49" s="52">
        <f ca="1">IFERROR(__xludf.DUMMYFUNCTION("IMPORTRANGE(""https://docs.google.com/spreadsheets/d/1MeEWN-I1oV_STSDYn1IFDPWt_1FKiwhDph83XaGc0o0/edit?usp=sharing"",""งบพรบ!U66"")"),0)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317400</v>
      </c>
      <c r="M53" s="116">
        <f t="shared" ca="1" si="31"/>
        <v>317400</v>
      </c>
      <c r="N53" s="116">
        <f t="shared" ca="1" si="31"/>
        <v>238360.99</v>
      </c>
      <c r="O53" s="116">
        <f t="shared" ref="O53:O61" ca="1" si="32">IF(L53&gt;0,N53*100/L53,0)</f>
        <v>75.09798046628859</v>
      </c>
      <c r="P53" s="116">
        <f t="shared" ref="P53:P61" ca="1" si="33">IF(M53&gt;0,N53*100/M53,0)</f>
        <v>75.09798046628859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317400</v>
      </c>
      <c r="M55" s="123">
        <f t="shared" ca="1" si="34"/>
        <v>317400</v>
      </c>
      <c r="N55" s="123">
        <f t="shared" ca="1" si="34"/>
        <v>238360.99</v>
      </c>
      <c r="O55" s="123">
        <f t="shared" ca="1" si="32"/>
        <v>75.09798046628859</v>
      </c>
      <c r="P55" s="123">
        <f t="shared" ca="1" si="33"/>
        <v>75.09798046628859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317400</v>
      </c>
      <c r="M56" s="497">
        <f t="shared" ca="1" si="35"/>
        <v>317400</v>
      </c>
      <c r="N56" s="497">
        <f t="shared" ca="1" si="35"/>
        <v>238360.99</v>
      </c>
      <c r="O56" s="497">
        <f t="shared" ca="1" si="32"/>
        <v>75.09798046628859</v>
      </c>
      <c r="P56" s="497">
        <f t="shared" ca="1" si="33"/>
        <v>75.09798046628859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IFERROR(__xludf.DUMMYFUNCTION("IMPORTRANGE(""https://docs.google.com/spreadsheets/d/1MeEWN-I1oV_STSDYn1IFDPWt_1FKiwhDph83XaGc0o0/edit?usp=sharing"",""งบพรบ!W66"")"),317400)</f>
        <v>317400</v>
      </c>
      <c r="M58" s="93">
        <f ca="1">IFERROR(__xludf.DUMMYFUNCTION("IMPORTRANGE(""https://docs.google.com/spreadsheets/d/1MeEWN-I1oV_STSDYn1IFDPWt_1FKiwhDph83XaGc0o0/edit?usp=sharing"",""งบพรบ!AB66"")"),317400)</f>
        <v>317400</v>
      </c>
      <c r="N58" s="93">
        <f ca="1">IFERROR(__xludf.DUMMYFUNCTION("IMPORTRANGE(""https://docs.google.com/spreadsheets/d/1MeEWN-I1oV_STSDYn1IFDPWt_1FKiwhDph83XaGc0o0/edit?usp=sharing"",""งบพรบ!AD66"")"),238360.99)</f>
        <v>238360.99</v>
      </c>
      <c r="O58" s="93">
        <f t="shared" ca="1" si="32"/>
        <v>75.09798046628859</v>
      </c>
      <c r="P58" s="93">
        <f t="shared" ca="1" si="33"/>
        <v>75.09798046628859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IFERROR(__xludf.DUMMYFUNCTION("IMPORTRANGE(""https://docs.google.com/spreadsheets/d/1MeEWN-I1oV_STSDYn1IFDPWt_1FKiwhDph83XaGc0o0/edit?usp=sharing"",""งบพรบ!Z66"")"),0)</f>
        <v>0</v>
      </c>
      <c r="M61" s="52">
        <f ca="1">IFERROR(__xludf.DUMMYFUNCTION("IMPORTRANGE(""https://docs.google.com/spreadsheets/d/1MeEWN-I1oV_STSDYn1IFDPWt_1FKiwhDph83XaGc0o0/edit?usp=sharing"",""งบพรบ!AC66"")"),0)</f>
        <v>0</v>
      </c>
      <c r="N61" s="52">
        <f ca="1">IFERROR(__xludf.DUMMYFUNCTION("IMPORTRANGE(""https://docs.google.com/spreadsheets/d/1MeEWN-I1oV_STSDYn1IFDPWt_1FKiwhDph83XaGc0o0/edit?usp=sharing"",""งบพรบ!AE66"")"),0)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IFERROR(__xludf.DUMMYFUNCTION("IMPORTRANGE(""https://docs.google.com/spreadsheets/d/1MeEWN-I1oV_STSDYn1IFDPWt_1FKiwhDph83XaGc0o0/edit?usp=sharing"",""งบพรบ!AG66"")"),0)</f>
        <v>0</v>
      </c>
      <c r="M71" s="93">
        <f ca="1">IFERROR(__xludf.DUMMYFUNCTION("IMPORTRANGE(""https://docs.google.com/spreadsheets/d/1MeEWN-I1oV_STSDYn1IFDPWt_1FKiwhDph83XaGc0o0/edit?usp=sharing"",""งบพรบ!AL66"")"),0)</f>
        <v>0</v>
      </c>
      <c r="N71" s="93">
        <f ca="1">IFERROR(__xludf.DUMMYFUNCTION("IMPORTRANGE(""https://docs.google.com/spreadsheets/d/1MeEWN-I1oV_STSDYn1IFDPWt_1FKiwhDph83XaGc0o0/edit?usp=sharing"",""งบพรบ!AN66"")"),0)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IFERROR(__xludf.DUMMYFUNCTION("IMPORTRANGE(""https://docs.google.com/spreadsheets/d/1MeEWN-I1oV_STSDYn1IFDPWt_1FKiwhDph83XaGc0o0/edit?usp=sharing"",""งบพรบ!AJ66"")"),0)</f>
        <v>0</v>
      </c>
      <c r="M74" s="93">
        <f ca="1">IFERROR(__xludf.DUMMYFUNCTION("IMPORTRANGE(""https://docs.google.com/spreadsheets/d/1MeEWN-I1oV_STSDYn1IFDPWt_1FKiwhDph83XaGc0o0/edit?usp=sharing"",""งบพรบ!AM66"")"),0)</f>
        <v>0</v>
      </c>
      <c r="N74" s="93">
        <f ca="1">IFERROR(__xludf.DUMMYFUNCTION("IMPORTRANGE(""https://docs.google.com/spreadsheets/d/1MeEWN-I1oV_STSDYn1IFDPWt_1FKiwhDph83XaGc0o0/edit?usp=sharing"",""งบพรบ!AO66"")"),0)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98760</v>
      </c>
      <c r="N88" s="155">
        <f t="shared" ca="1" si="49"/>
        <v>89340</v>
      </c>
      <c r="O88" s="155">
        <f t="shared" ref="O88:O96" ca="1" si="50">IF(L88&gt;0,N88*100/L88,0)</f>
        <v>90.461725394896717</v>
      </c>
      <c r="P88" s="155">
        <f t="shared" ref="P88:P96" ca="1" si="51">IF(M88&gt;0,N88*100/M88,0)</f>
        <v>90.461725394896717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98760</v>
      </c>
      <c r="M90" s="93">
        <f t="shared" ca="1" si="52"/>
        <v>98760</v>
      </c>
      <c r="N90" s="93">
        <f t="shared" ca="1" si="52"/>
        <v>89340</v>
      </c>
      <c r="O90" s="93">
        <f t="shared" ca="1" si="50"/>
        <v>90.461725394896717</v>
      </c>
      <c r="P90" s="93">
        <f t="shared" ca="1" si="51"/>
        <v>90.461725394896717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98760</v>
      </c>
      <c r="N91" s="497">
        <f t="shared" ca="1" si="53"/>
        <v>89340</v>
      </c>
      <c r="O91" s="497">
        <f t="shared" ca="1" si="50"/>
        <v>90.461725394896717</v>
      </c>
      <c r="P91" s="497">
        <f t="shared" ca="1" si="51"/>
        <v>90.461725394896717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IFERROR(__xludf.DUMMYFUNCTION("IMPORTRANGE(""https://docs.google.com/spreadsheets/d/1MeEWN-I1oV_STSDYn1IFDPWt_1FKiwhDph83XaGc0o0/edit?usp=sharing"",""งบพรบ!AQ66"")"),98760)</f>
        <v>98760</v>
      </c>
      <c r="M93" s="93">
        <f ca="1">IFERROR(__xludf.DUMMYFUNCTION("IMPORTRANGE(""https://docs.google.com/spreadsheets/d/1MeEWN-I1oV_STSDYn1IFDPWt_1FKiwhDph83XaGc0o0/edit?usp=sharing"",""งบพรบ!AV66"")"),98760)</f>
        <v>98760</v>
      </c>
      <c r="N93" s="93">
        <f ca="1">IFERROR(__xludf.DUMMYFUNCTION("IMPORTRANGE(""https://docs.google.com/spreadsheets/d/1MeEWN-I1oV_STSDYn1IFDPWt_1FKiwhDph83XaGc0o0/edit?usp=sharing"",""งบพรบ!AX66"")"),89340)</f>
        <v>89340</v>
      </c>
      <c r="O93" s="93">
        <f t="shared" ca="1" si="50"/>
        <v>90.461725394896717</v>
      </c>
      <c r="P93" s="93">
        <f t="shared" ca="1" si="51"/>
        <v>90.461725394896717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IFERROR(__xludf.DUMMYFUNCTION("IMPORTRANGE(""https://docs.google.com/spreadsheets/d/1MeEWN-I1oV_STSDYn1IFDPWt_1FKiwhDph83XaGc0o0/edit?usp=sharing"",""งบพรบ!AT66"")"),0)</f>
        <v>0</v>
      </c>
      <c r="M96" s="93">
        <f ca="1">IFERROR(__xludf.DUMMYFUNCTION("IMPORTRANGE(""https://docs.google.com/spreadsheets/d/1MeEWN-I1oV_STSDYn1IFDPWt_1FKiwhDph83XaGc0o0/edit?usp=sharing"",""งบพรบ!AW66"")"),0)</f>
        <v>0</v>
      </c>
      <c r="N96" s="93">
        <f ca="1">IFERROR(__xludf.DUMMYFUNCTION("IMPORTRANGE(""https://docs.google.com/spreadsheets/d/1MeEWN-I1oV_STSDYn1IFDPWt_1FKiwhDph83XaGc0o0/edit?usp=sharing"",""งบพรบ!AY66"")"),0)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IFERROR(__xludf.DUMMYFUNCTION("IMPORTRANGE(""https://docs.google.com/spreadsheets/d/1QqKyyYR6Q21VydFLVH3TRQUabQu_ym0Zz7PgGX0-kHA/edit?usp=sharing"",""แผน!M66"")"),2)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IFERROR(__xludf.DUMMYFUNCTION("IMPORTRANGE(""https://docs.google.com/spreadsheets/d/1QqKyyYR6Q21VydFLVH3TRQUabQu_ym0Zz7PgGX0-kHA/edit?usp=sharing"",""แผน!R66"")"),15)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IFERROR(__xludf.DUMMYFUNCTION("IMPORTRANGE(""https://docs.google.com/spreadsheets/d/1MeEWN-I1oV_STSDYn1IFDPWt_1FKiwhDph83XaGc0o0/edit?usp=sharing"",""งบพรบ!BA66"")"),0)</f>
        <v>0</v>
      </c>
      <c r="M124" s="93">
        <f ca="1">IFERROR(__xludf.DUMMYFUNCTION("IMPORTRANGE(""https://docs.google.com/spreadsheets/d/1MeEWN-I1oV_STSDYn1IFDPWt_1FKiwhDph83XaGc0o0/edit?usp=sharing"",""งบพรบ!BF66"")"),0)</f>
        <v>0</v>
      </c>
      <c r="N124" s="93">
        <f ca="1">IFERROR(__xludf.DUMMYFUNCTION("IMPORTRANGE(""https://docs.google.com/spreadsheets/d/1MeEWN-I1oV_STSDYn1IFDPWt_1FKiwhDph83XaGc0o0/edit?usp=sharing"",""งบพรบ!BH66"")"),0)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IFERROR(__xludf.DUMMYFUNCTION("IMPORTRANGE(""https://docs.google.com/spreadsheets/d/1MeEWN-I1oV_STSDYn1IFDPWt_1FKiwhDph83XaGc0o0/edit?usp=sharing"",""งบพรบ!BD66"")"),0)</f>
        <v>0</v>
      </c>
      <c r="M127" s="93">
        <f ca="1">IFERROR(__xludf.DUMMYFUNCTION("IMPORTRANGE(""https://docs.google.com/spreadsheets/d/1MeEWN-I1oV_STSDYn1IFDPWt_1FKiwhDph83XaGc0o0/edit?usp=sharing"",""งบพรบ!BG66"")"),0)</f>
        <v>0</v>
      </c>
      <c r="N127" s="93">
        <f ca="1">IFERROR(__xludf.DUMMYFUNCTION("IMPORTRANGE(""https://docs.google.com/spreadsheets/d/1MeEWN-I1oV_STSDYn1IFDPWt_1FKiwhDph83XaGc0o0/edit?usp=sharing"",""งบพรบ!BI66"")"),0)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IFERROR(__xludf.DUMMYFUNCTION("IMPORTRANGE(""https://docs.google.com/spreadsheets/d/1MeEWN-I1oV_STSDYn1IFDPWt_1FKiwhDph83XaGc0o0/edit?usp=sharing"",""งบพรบ!BK66"")"),0)</f>
        <v>0</v>
      </c>
      <c r="M137" s="93">
        <f ca="1">IFERROR(__xludf.DUMMYFUNCTION("IMPORTRANGE(""https://docs.google.com/spreadsheets/d/1MeEWN-I1oV_STSDYn1IFDPWt_1FKiwhDph83XaGc0o0/edit?usp=sharing"",""งบพรบ!BP66"")"),0)</f>
        <v>0</v>
      </c>
      <c r="N137" s="93">
        <f ca="1">IFERROR(__xludf.DUMMYFUNCTION("IMPORTRANGE(""https://docs.google.com/spreadsheets/d/1MeEWN-I1oV_STSDYn1IFDPWt_1FKiwhDph83XaGc0o0/edit?usp=sharing"",""งบพรบ!BR66"")"),0)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IFERROR(__xludf.DUMMYFUNCTION("IMPORTRANGE(""https://docs.google.com/spreadsheets/d/1MeEWN-I1oV_STSDYn1IFDPWt_1FKiwhDph83XaGc0o0/edit?usp=sharing"",""งบพรบ!BN66"")"),0)</f>
        <v>0</v>
      </c>
      <c r="M140" s="93">
        <f ca="1">IFERROR(__xludf.DUMMYFUNCTION("IMPORTRANGE(""https://docs.google.com/spreadsheets/d/1MeEWN-I1oV_STSDYn1IFDPWt_1FKiwhDph83XaGc0o0/edit?usp=sharing"",""งบพรบ!BQ66"")"),0)</f>
        <v>0</v>
      </c>
      <c r="N140" s="93">
        <f ca="1">IFERROR(__xludf.DUMMYFUNCTION("IMPORTRANGE(""https://docs.google.com/spreadsheets/d/1MeEWN-I1oV_STSDYn1IFDPWt_1FKiwhDph83XaGc0o0/edit?usp=sharing"",""งบพรบ!BS66"")"),0)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IFERROR(__xludf.DUMMYFUNCTION("IMPORTRANGE(""https://docs.google.com/spreadsheets/d/1MeEWN-I1oV_STSDYn1IFDPWt_1FKiwhDph83XaGc0o0/edit?usp=sharing"",""งบพรบ!BU66"")"),0)</f>
        <v>0</v>
      </c>
      <c r="M154" s="93">
        <f ca="1">IFERROR(__xludf.DUMMYFUNCTION("IMPORTRANGE(""https://docs.google.com/spreadsheets/d/1MeEWN-I1oV_STSDYn1IFDPWt_1FKiwhDph83XaGc0o0/edit?usp=sharing"",""งบพรบ!BZ66"")"),0)</f>
        <v>0</v>
      </c>
      <c r="N154" s="93">
        <f ca="1">IFERROR(__xludf.DUMMYFUNCTION("IMPORTRANGE(""https://docs.google.com/spreadsheets/d/1MeEWN-I1oV_STSDYn1IFDPWt_1FKiwhDph83XaGc0o0/edit?usp=sharing"",""งบพรบ!CB66"")"),0)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IFERROR(__xludf.DUMMYFUNCTION("IMPORTRANGE(""https://docs.google.com/spreadsheets/d/1MeEWN-I1oV_STSDYn1IFDPWt_1FKiwhDph83XaGc0o0/edit?usp=sharing"",""งบพรบ!BX66"")"),0)</f>
        <v>0</v>
      </c>
      <c r="M157" s="93">
        <f ca="1">IFERROR(__xludf.DUMMYFUNCTION("IMPORTRANGE(""https://docs.google.com/spreadsheets/d/1MeEWN-I1oV_STSDYn1IFDPWt_1FKiwhDph83XaGc0o0/edit?usp=sharing"",""งบพรบ!CA66"")"),0)</f>
        <v>0</v>
      </c>
      <c r="N157" s="93">
        <f ca="1">IFERROR(__xludf.DUMMYFUNCTION("IMPORTRANGE(""https://docs.google.com/spreadsheets/d/1MeEWN-I1oV_STSDYn1IFDPWt_1FKiwhDph83XaGc0o0/edit?usp=sharing"",""งบพรบ!CC66"")"),0)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31560</v>
      </c>
      <c r="N165" s="155">
        <f t="shared" ca="1" si="84"/>
        <v>31560</v>
      </c>
      <c r="O165" s="155">
        <f t="shared" ref="O165:O173" ca="1" si="85">IF(L165&gt;0,N165*100/L165,0)</f>
        <v>149.92874109263659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31560</v>
      </c>
      <c r="N167" s="93">
        <f t="shared" ca="1" si="87"/>
        <v>31560</v>
      </c>
      <c r="O167" s="93">
        <f t="shared" ca="1" si="85"/>
        <v>149.92874109263659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31560</v>
      </c>
      <c r="N168" s="497">
        <f t="shared" ca="1" si="88"/>
        <v>31560</v>
      </c>
      <c r="O168" s="497">
        <f t="shared" ca="1" si="85"/>
        <v>149.92874109263659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IFERROR(__xludf.DUMMYFUNCTION("IMPORTRANGE(""https://docs.google.com/spreadsheets/d/1MeEWN-I1oV_STSDYn1IFDPWt_1FKiwhDph83XaGc0o0/edit?usp=sharing"",""งบพรบ!CE66"")"),21050)</f>
        <v>21050</v>
      </c>
      <c r="M170" s="93">
        <f ca="1">IFERROR(__xludf.DUMMYFUNCTION("IMPORTRANGE(""https://docs.google.com/spreadsheets/d/1MeEWN-I1oV_STSDYn1IFDPWt_1FKiwhDph83XaGc0o0/edit?usp=sharing"",""งบพรบ!CJ66"")"),31560)</f>
        <v>31560</v>
      </c>
      <c r="N170" s="93">
        <f ca="1">IFERROR(__xludf.DUMMYFUNCTION("IMPORTRANGE(""https://docs.google.com/spreadsheets/d/1MeEWN-I1oV_STSDYn1IFDPWt_1FKiwhDph83XaGc0o0/edit?usp=sharing"",""งบพรบ!CL66"")"),31560)</f>
        <v>31560</v>
      </c>
      <c r="O170" s="93">
        <f t="shared" ca="1" si="85"/>
        <v>149.92874109263659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IFERROR(__xludf.DUMMYFUNCTION("IMPORTRANGE(""https://docs.google.com/spreadsheets/d/1MeEWN-I1oV_STSDYn1IFDPWt_1FKiwhDph83XaGc0o0/edit?usp=sharing"",""งบพรบ!CH66"")"),0)</f>
        <v>0</v>
      </c>
      <c r="M173" s="93">
        <f ca="1">IFERROR(__xludf.DUMMYFUNCTION("IMPORTRANGE(""https://docs.google.com/spreadsheets/d/1MeEWN-I1oV_STSDYn1IFDPWt_1FKiwhDph83XaGc0o0/edit?usp=sharing"",""งบพรบ!CK66"")"),0)</f>
        <v>0</v>
      </c>
      <c r="N173" s="93">
        <f ca="1">IFERROR(__xludf.DUMMYFUNCTION("IMPORTRANGE(""https://docs.google.com/spreadsheets/d/1MeEWN-I1oV_STSDYn1IFDPWt_1FKiwhDph83XaGc0o0/edit?usp=sharing"",""งบพรบ!CM66"")"),0)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253200</v>
      </c>
      <c r="M181" s="155">
        <f t="shared" ca="1" si="92"/>
        <v>258920</v>
      </c>
      <c r="N181" s="155">
        <f t="shared" ca="1" si="92"/>
        <v>209751</v>
      </c>
      <c r="O181" s="155">
        <f t="shared" ref="O181:O189" ca="1" si="93">IF(L181&gt;0,N181*100/L181,0)</f>
        <v>82.840047393364927</v>
      </c>
      <c r="P181" s="155">
        <f t="shared" ref="P181:P189" ca="1" si="94">IF(M181&gt;0,N181*100/M181,0)</f>
        <v>81.009964467789274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253200</v>
      </c>
      <c r="M183" s="93">
        <f t="shared" ca="1" si="95"/>
        <v>258920</v>
      </c>
      <c r="N183" s="93">
        <f t="shared" ca="1" si="95"/>
        <v>209751</v>
      </c>
      <c r="O183" s="93">
        <f t="shared" ca="1" si="93"/>
        <v>82.840047393364927</v>
      </c>
      <c r="P183" s="93">
        <f t="shared" ca="1" si="94"/>
        <v>81.009964467789274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253200</v>
      </c>
      <c r="M184" s="497">
        <f t="shared" ca="1" si="96"/>
        <v>258920</v>
      </c>
      <c r="N184" s="497">
        <f t="shared" ca="1" si="96"/>
        <v>209751</v>
      </c>
      <c r="O184" s="497">
        <f t="shared" ca="1" si="93"/>
        <v>82.840047393364927</v>
      </c>
      <c r="P184" s="497">
        <f t="shared" ca="1" si="94"/>
        <v>81.009964467789274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IFERROR(__xludf.DUMMYFUNCTION("IMPORTRANGE(""https://docs.google.com/spreadsheets/d/1MeEWN-I1oV_STSDYn1IFDPWt_1FKiwhDph83XaGc0o0/edit?usp=sharing"",""งบพรบ!CO66"")"),253200)</f>
        <v>253200</v>
      </c>
      <c r="M186" s="93">
        <f ca="1">IFERROR(__xludf.DUMMYFUNCTION("IMPORTRANGE(""https://docs.google.com/spreadsheets/d/1MeEWN-I1oV_STSDYn1IFDPWt_1FKiwhDph83XaGc0o0/edit?usp=sharing"",""งบพรบ!CT66"")"),258920)</f>
        <v>258920</v>
      </c>
      <c r="N186" s="93">
        <f ca="1">IFERROR(__xludf.DUMMYFUNCTION("IMPORTRANGE(""https://docs.google.com/spreadsheets/d/1MeEWN-I1oV_STSDYn1IFDPWt_1FKiwhDph83XaGc0o0/edit?usp=sharing"",""งบพรบ!CV66"")"),209751)</f>
        <v>209751</v>
      </c>
      <c r="O186" s="93">
        <f t="shared" ca="1" si="93"/>
        <v>82.840047393364927</v>
      </c>
      <c r="P186" s="93">
        <f t="shared" ca="1" si="94"/>
        <v>81.009964467789274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IFERROR(__xludf.DUMMYFUNCTION("IMPORTRANGE(""https://docs.google.com/spreadsheets/d/1MeEWN-I1oV_STSDYn1IFDPWt_1FKiwhDph83XaGc0o0/edit?usp=sharing"",""งบพรบ!CR66"")"),0)</f>
        <v>0</v>
      </c>
      <c r="M189" s="93">
        <f ca="1">IFERROR(__xludf.DUMMYFUNCTION("IMPORTRANGE(""https://docs.google.com/spreadsheets/d/1MeEWN-I1oV_STSDYn1IFDPWt_1FKiwhDph83XaGc0o0/edit?usp=sharing"",""งบพรบ!CU66"")"),0)</f>
        <v>0</v>
      </c>
      <c r="N189" s="93">
        <f ca="1">IFERROR(__xludf.DUMMYFUNCTION("IMPORTRANGE(""https://docs.google.com/spreadsheets/d/1MeEWN-I1oV_STSDYn1IFDPWt_1FKiwhDph83XaGc0o0/edit?usp=sharing"",""งบพรบ!CW66"")"),0)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IFERROR(__xludf.DUMMYFUNCTION("IMPORTRANGE(""https://docs.google.com/spreadsheets/d/1QqKyyYR6Q21VydFLVH3TRQUabQu_ym0Zz7PgGX0-kHA/edit?usp=sharing"",""แผน!Z66"")"),6000)</f>
        <v>6000</v>
      </c>
      <c r="M191" s="155"/>
      <c r="N191" s="276">
        <v>1360</v>
      </c>
      <c r="O191" s="155">
        <f ca="1">IF(L191&gt;0,N191*100/L191,0)</f>
        <v>22.666666666666668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IFERROR(__xludf.DUMMYFUNCTION("IMPORTRANGE(""https://docs.google.com/spreadsheets/d/1QqKyyYR6Q21VydFLVH3TRQUabQu_ym0Zz7PgGX0-kHA/edit?usp=sharing"",""แผน!AE66"")"),1000)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IFERROR(__xludf.DUMMYFUNCTION("IMPORTRANGE(""https://docs.google.com/spreadsheets/d/1QqKyyYR6Q21VydFLVH3TRQUabQu_ym0Zz7PgGX0-kHA/edit?usp=sharing"",""แผน!AF66"")"),8000)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IFERROR(__xludf.DUMMYFUNCTION("IMPORTRANGE(""https://docs.google.com/spreadsheets/d/1QqKyyYR6Q21VydFLVH3TRQUabQu_ym0Zz7PgGX0-kHA/edit?usp=sharing"",""แผน!AG66"")"),4000)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IFERROR(__xludf.DUMMYFUNCTION("IMPORTRANGE(""https://docs.google.com/spreadsheets/d/1QqKyyYR6Q21VydFLVH3TRQUabQu_ym0Zz7PgGX0-kHA/edit?usp=sharing"",""แผน!AH66"")"),0)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IFERROR(__xludf.DUMMYFUNCTION("IMPORTRANGE(""https://docs.google.com/spreadsheets/d/1QqKyyYR6Q21VydFLVH3TRQUabQu_ym0Zz7PgGX0-kHA/edit?usp=sharing"",""แผน!AI66"")"),1)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6400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6200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IFERROR(__xludf.DUMMYFUNCTION("IMPORTRANGE(""https://docs.google.com/spreadsheets/d/1QqKyyYR6Q21VydFLVH3TRQUabQu_ym0Zz7PgGX0-kHA/edit?usp=sharing"",""แผน!AP66"")"),3000)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IFERROR(__xludf.DUMMYFUNCTION("IMPORTRANGE(""https://docs.google.com/spreadsheets/d/1QqKyyYR6Q21VydFLVH3TRQUabQu_ym0Zz7PgGX0-kHA/edit?usp=sharing"",""แผน!AQ66"")"),3200)</f>
        <v>3200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IFERROR(__xludf.DUMMYFUNCTION("IMPORTRANGE(""https://docs.google.com/spreadsheets/d/1QqKyyYR6Q21VydFLVH3TRQUabQu_ym0Zz7PgGX0-kHA/edit?usp=sharing"",""แผน!AR66"")"),0)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IFERROR(__xludf.DUMMYFUNCTION("IMPORTRANGE(""https://docs.google.com/spreadsheets/d/1QqKyyYR6Q21VydFLVH3TRQUabQu_ym0Zz7PgGX0-kHA/edit?usp=sharing"",""แผน!AT66"")"),6400)</f>
        <v>6400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IFERROR(__xludf.DUMMYFUNCTION("IMPORTRANGE(""https://docs.google.com/spreadsheets/d/1QqKyyYR6Q21VydFLVH3TRQUabQu_ym0Zz7PgGX0-kHA/edit?usp=sharing"",""แผน!AT66"")"),6400)</f>
        <v>6400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78000</v>
      </c>
      <c r="M227" s="356"/>
      <c r="N227" s="356">
        <f t="shared" ref="N227:N231" si="107">N238+N249</f>
        <v>58000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28000</v>
      </c>
      <c r="M229" s="93"/>
      <c r="N229" s="93">
        <f t="shared" si="107"/>
        <v>28000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78000</v>
      </c>
      <c r="M238" s="155"/>
      <c r="N238" s="155">
        <f>N239+N240+N241+N242</f>
        <v>58000</v>
      </c>
      <c r="O238" s="155">
        <f ca="1">IF(L238&gt;0,N238*100/L238,0)</f>
        <v>74.358974358974365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IFERROR(__xludf.DUMMYFUNCTION("IMPORTRANGE(""https://docs.google.com/spreadsheets/d/1QqKyyYR6Q21VydFLVH3TRQUabQu_ym0Zz7PgGX0-kHA/edit?usp=sharing"",""แผน!AV66"")"),20000)</f>
        <v>20000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IFERROR(__xludf.DUMMYFUNCTION("IMPORTRANGE(""https://docs.google.com/spreadsheets/d/1QqKyyYR6Q21VydFLVH3TRQUabQu_ym0Zz7PgGX0-kHA/edit?usp=sharing"",""แผน!AW66"")"),28000)</f>
        <v>28000</v>
      </c>
      <c r="M240" s="283"/>
      <c r="N240" s="872">
        <v>28000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IFERROR(__xludf.DUMMYFUNCTION("IMPORTRANGE(""https://docs.google.com/spreadsheets/d/1QqKyyYR6Q21VydFLVH3TRQUabQu_ym0Zz7PgGX0-kHA/edit?usp=sharing"",""แผน!AX66"")"),20000)</f>
        <v>20000</v>
      </c>
      <c r="M241" s="283"/>
      <c r="N241" s="872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IFERROR(__xludf.DUMMYFUNCTION("IMPORTRANGE(""https://docs.google.com/spreadsheets/d/1QqKyyYR6Q21VydFLVH3TRQUabQu_ym0Zz7PgGX0-kHA/edit?usp=sharing"",""แผน!AY66"")"),10000)</f>
        <v>10000</v>
      </c>
      <c r="M242" s="283"/>
      <c r="N242" s="872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IFERROR(__xludf.DUMMYFUNCTION("IMPORTRANGE(""https://docs.google.com/spreadsheets/d/1QqKyyYR6Q21VydFLVH3TRQUabQu_ym0Zz7PgGX0-kHA/edit?usp=sharing"",""แผน!BE66"")"),20)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IFERROR(__xludf.DUMMYFUNCTION("IMPORTRANGE(""https://docs.google.com/spreadsheets/d/1QqKyyYR6Q21VydFLVH3TRQUabQu_ym0Zz7PgGX0-kHA/edit?usp=sharing"",""แผน!AZ66"")"),0)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IFERROR(__xludf.DUMMYFUNCTION("IMPORTRANGE(""https://docs.google.com/spreadsheets/d/1QqKyyYR6Q21VydFLVH3TRQUabQu_ym0Zz7PgGX0-kHA/edit?usp=sharing"",""แผน!BA66"")"),0)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IFERROR(__xludf.DUMMYFUNCTION("IMPORTRANGE(""https://docs.google.com/spreadsheets/d/1QqKyyYR6Q21VydFLVH3TRQUabQu_ym0Zz7PgGX0-kHA/edit?usp=sharing"",""แผน!BB66"")"),0)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IFERROR(__xludf.DUMMYFUNCTION("IMPORTRANGE(""https://docs.google.com/spreadsheets/d/1QqKyyYR6Q21VydFLVH3TRQUabQu_ym0Zz7PgGX0-kHA/edit?usp=sharing"",""แผน!BC66"")"),0)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21980</v>
      </c>
      <c r="O261" s="155">
        <f t="shared" ref="O261:O269" ca="1" si="117">IF(L261&gt;0,N261*100/L261,0)</f>
        <v>81.710037174721194</v>
      </c>
      <c r="P261" s="155">
        <f t="shared" ref="P261:P269" ca="1" si="118">IF(M261&gt;0,N261*100/M261,0)</f>
        <v>81.710037174721194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21980</v>
      </c>
      <c r="O263" s="93">
        <f t="shared" ca="1" si="117"/>
        <v>81.710037174721194</v>
      </c>
      <c r="P263" s="93">
        <f t="shared" ca="1" si="118"/>
        <v>81.710037174721194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21980</v>
      </c>
      <c r="O264" s="497">
        <f t="shared" ca="1" si="117"/>
        <v>81.710037174721194</v>
      </c>
      <c r="P264" s="497">
        <f t="shared" ca="1" si="118"/>
        <v>81.710037174721194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IFERROR(__xludf.DUMMYFUNCTION("IMPORTRANGE(""https://docs.google.com/spreadsheets/d/1MeEWN-I1oV_STSDYn1IFDPWt_1FKiwhDph83XaGc0o0/edit?usp=sharing"",""งบพรบ!CY66"")"),26900)</f>
        <v>26900</v>
      </c>
      <c r="M266" s="93">
        <f ca="1">IFERROR(__xludf.DUMMYFUNCTION("IMPORTRANGE(""https://docs.google.com/spreadsheets/d/1MeEWN-I1oV_STSDYn1IFDPWt_1FKiwhDph83XaGc0o0/edit?usp=sharing"",""งบพรบ!DD66"")"),26900)</f>
        <v>26900</v>
      </c>
      <c r="N266" s="93">
        <f ca="1">IFERROR(__xludf.DUMMYFUNCTION("IMPORTRANGE(""https://docs.google.com/spreadsheets/d/1MeEWN-I1oV_STSDYn1IFDPWt_1FKiwhDph83XaGc0o0/edit?usp=sharing"",""งบพรบ!DF66"")"),21980)</f>
        <v>21980</v>
      </c>
      <c r="O266" s="93">
        <f t="shared" ca="1" si="117"/>
        <v>81.710037174721194</v>
      </c>
      <c r="P266" s="93">
        <f t="shared" ca="1" si="118"/>
        <v>81.710037174721194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IFERROR(__xludf.DUMMYFUNCTION("IMPORTRANGE(""https://docs.google.com/spreadsheets/d/1MeEWN-I1oV_STSDYn1IFDPWt_1FKiwhDph83XaGc0o0/edit?usp=sharing"",""งบพรบ!DB66"")"),0)</f>
        <v>0</v>
      </c>
      <c r="M269" s="93">
        <f ca="1">IFERROR(__xludf.DUMMYFUNCTION("IMPORTRANGE(""https://docs.google.com/spreadsheets/d/1MeEWN-I1oV_STSDYn1IFDPWt_1FKiwhDph83XaGc0o0/edit?usp=sharing"",""งบพรบ!DE66"")"),0)</f>
        <v>0</v>
      </c>
      <c r="N269" s="93">
        <f ca="1">IFERROR(__xludf.DUMMYFUNCTION("IMPORTRANGE(""https://docs.google.com/spreadsheets/d/1MeEWN-I1oV_STSDYn1IFDPWt_1FKiwhDph83XaGc0o0/edit?usp=sharing"",""งบพรบ!DG66"")"),0)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IFERROR(__xludf.DUMMYFUNCTION("IMPORTRANGE(""https://docs.google.com/spreadsheets/d/1MeEWN-I1oV_STSDYn1IFDPWt_1FKiwhDph83XaGc0o0/edit?usp=sharing"",""งบพรบ!DI66"")"),0)</f>
        <v>0</v>
      </c>
      <c r="M282" s="93">
        <f ca="1">IFERROR(__xludf.DUMMYFUNCTION("IMPORTRANGE(""https://docs.google.com/spreadsheets/d/1MeEWN-I1oV_STSDYn1IFDPWt_1FKiwhDph83XaGc0o0/edit?usp=sharing"",""งบพรบ!DN66"")"),0)</f>
        <v>0</v>
      </c>
      <c r="N282" s="93">
        <f ca="1">IFERROR(__xludf.DUMMYFUNCTION("IMPORTRANGE(""https://docs.google.com/spreadsheets/d/1MeEWN-I1oV_STSDYn1IFDPWt_1FKiwhDph83XaGc0o0/edit?usp=sharing"",""งบพรบ!DP66"")"),0)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IFERROR(__xludf.DUMMYFUNCTION("IMPORTRANGE(""https://docs.google.com/spreadsheets/d/1MeEWN-I1oV_STSDYn1IFDPWt_1FKiwhDph83XaGc0o0/edit?usp=sharing"",""งบพรบ!DL66"")"),0)</f>
        <v>0</v>
      </c>
      <c r="M285" s="93">
        <f ca="1">IFERROR(__xludf.DUMMYFUNCTION("IMPORTRANGE(""https://docs.google.com/spreadsheets/d/1MeEWN-I1oV_STSDYn1IFDPWt_1FKiwhDph83XaGc0o0/edit?usp=sharing"",""งบพรบ!DO66"")"),0)</f>
        <v>0</v>
      </c>
      <c r="N285" s="93">
        <f ca="1">IFERROR(__xludf.DUMMYFUNCTION("IMPORTRANGE(""https://docs.google.com/spreadsheets/d/1MeEWN-I1oV_STSDYn1IFDPWt_1FKiwhDph83XaGc0o0/edit?usp=sharing"",""งบพรบ!DQ66"")"),0)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IFERROR(__xludf.DUMMYFUNCTION("IMPORTRANGE(""https://docs.google.com/spreadsheets/d/1QqKyyYR6Q21VydFLVH3TRQUabQu_ym0Zz7PgGX0-kHA/edit?usp=sharing"",""แผน!EC66"")"),0)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IFERROR(__xludf.DUMMYFUNCTION("IMPORTRANGE(""https://docs.google.com/spreadsheets/d/1QqKyyYR6Q21VydFLVH3TRQUabQu_ym0Zz7PgGX0-kHA/edit?usp=sharing"",""แผน!EB66"")"),0)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IFERROR(__xludf.DUMMYFUNCTION("IMPORTRANGE(""https://docs.google.com/spreadsheets/d/1QqKyyYR6Q21VydFLVH3TRQUabQu_ym0Zz7PgGX0-kHA/edit?usp=sharing"",""แผน!EB66"")"),0)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IFERROR(__xludf.DUMMYFUNCTION("IMPORTRANGE(""https://docs.google.com/spreadsheets/d/1QqKyyYR6Q21VydFLVH3TRQUabQu_ym0Zz7PgGX0-kHA/edit?usp=sharing"",""แผน!EB66"")"),0)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IFERROR(__xludf.DUMMYFUNCTION("IMPORTRANGE(""https://docs.google.com/spreadsheets/d/1QqKyyYR6Q21VydFLVH3TRQUabQu_ym0Zz7PgGX0-kHA/edit?usp=sharing"",""แผน!EB66"")"),0)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IFERROR(__xludf.DUMMYFUNCTION("IMPORTRANGE(""https://docs.google.com/spreadsheets/d/1QqKyyYR6Q21VydFLVH3TRQUabQu_ym0Zz7PgGX0-kHA/edit?usp=sharing"",""แผน!EB66"")"),0)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244000</v>
      </c>
      <c r="M298" s="155">
        <f t="shared" ca="1" si="135"/>
        <v>244000</v>
      </c>
      <c r="N298" s="155">
        <f t="shared" ca="1" si="135"/>
        <v>178722</v>
      </c>
      <c r="O298" s="155">
        <f t="shared" ref="O298:O306" ca="1" si="136">IF(L298&gt;0,N298*100/L298,0)</f>
        <v>73.246721311475412</v>
      </c>
      <c r="P298" s="155">
        <f t="shared" ref="P298:P306" ca="1" si="137">IF(M298&gt;0,N298*100/M298,0)</f>
        <v>73.246721311475412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244000</v>
      </c>
      <c r="M300" s="93">
        <f t="shared" ca="1" si="138"/>
        <v>244000</v>
      </c>
      <c r="N300" s="93">
        <f t="shared" ca="1" si="138"/>
        <v>178722</v>
      </c>
      <c r="O300" s="93">
        <f t="shared" ca="1" si="136"/>
        <v>73.246721311475412</v>
      </c>
      <c r="P300" s="93">
        <f t="shared" ca="1" si="137"/>
        <v>73.246721311475412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244000</v>
      </c>
      <c r="M301" s="497">
        <f t="shared" ca="1" si="139"/>
        <v>244000</v>
      </c>
      <c r="N301" s="497">
        <f t="shared" ca="1" si="139"/>
        <v>178722</v>
      </c>
      <c r="O301" s="497">
        <f t="shared" ca="1" si="136"/>
        <v>73.246721311475412</v>
      </c>
      <c r="P301" s="497">
        <f t="shared" ca="1" si="137"/>
        <v>73.246721311475412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IFERROR(__xludf.DUMMYFUNCTION("IMPORTRANGE(""https://docs.google.com/spreadsheets/d/1MeEWN-I1oV_STSDYn1IFDPWt_1FKiwhDph83XaGc0o0/edit?usp=sharing"",""งบพรบ!DS66"")"),244000)</f>
        <v>244000</v>
      </c>
      <c r="M303" s="93">
        <f ca="1">IFERROR(__xludf.DUMMYFUNCTION("IMPORTRANGE(""https://docs.google.com/spreadsheets/d/1MeEWN-I1oV_STSDYn1IFDPWt_1FKiwhDph83XaGc0o0/edit?usp=sharing"",""งบพรบ!DX66"")"),244000)</f>
        <v>244000</v>
      </c>
      <c r="N303" s="93">
        <f ca="1">IFERROR(__xludf.DUMMYFUNCTION("IMPORTRANGE(""https://docs.google.com/spreadsheets/d/1MeEWN-I1oV_STSDYn1IFDPWt_1FKiwhDph83XaGc0o0/edit?usp=sharing"",""งบพรบ!DZ66"")"),178722)</f>
        <v>178722</v>
      </c>
      <c r="O303" s="93">
        <f t="shared" ca="1" si="136"/>
        <v>73.246721311475412</v>
      </c>
      <c r="P303" s="93">
        <f t="shared" ca="1" si="137"/>
        <v>73.246721311475412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IFERROR(__xludf.DUMMYFUNCTION("IMPORTRANGE(""https://docs.google.com/spreadsheets/d/1MeEWN-I1oV_STSDYn1IFDPWt_1FKiwhDph83XaGc0o0/edit?usp=sharing"",""งบพรบ!DV66"")"),0)</f>
        <v>0</v>
      </c>
      <c r="M306" s="93">
        <f ca="1">IFERROR(__xludf.DUMMYFUNCTION("IMPORTRANGE(""https://docs.google.com/spreadsheets/d/1MeEWN-I1oV_STSDYn1IFDPWt_1FKiwhDph83XaGc0o0/edit?usp=sharing"",""งบพรบ!DY66"")"),0)</f>
        <v>0</v>
      </c>
      <c r="N306" s="93">
        <f ca="1">IFERROR(__xludf.DUMMYFUNCTION("IMPORTRANGE(""https://docs.google.com/spreadsheets/d/1MeEWN-I1oV_STSDYn1IFDPWt_1FKiwhDph83XaGc0o0/edit?usp=sharing"",""งบพรบ!EA66"")"),0)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IFERROR(__xludf.DUMMYFUNCTION("IMPORTRANGE(""https://docs.google.com/spreadsheets/d/1QqKyyYR6Q21VydFLVH3TRQUabQu_ym0Zz7PgGX0-kHA/edit?usp=sharing"",""แผน!ED66"")"),25)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IFERROR(__xludf.DUMMYFUNCTION("IMPORTRANGE(""https://docs.google.com/spreadsheets/d/1QqKyyYR6Q21VydFLVH3TRQUabQu_ym0Zz7PgGX0-kHA/edit?usp=sharing"",""แผน!EE66"")"),5)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IFERROR(__xludf.DUMMYFUNCTION("IMPORTRANGE(""https://docs.google.com/spreadsheets/d/1MeEWN-I1oV_STSDYn1IFDPWt_1FKiwhDph83XaGc0o0/edit?usp=sharing"",""งบพรบ!EC66"")"),0)</f>
        <v>0</v>
      </c>
      <c r="M320" s="93">
        <f ca="1">IFERROR(__xludf.DUMMYFUNCTION("IMPORTRANGE(""https://docs.google.com/spreadsheets/d/1MeEWN-I1oV_STSDYn1IFDPWt_1FKiwhDph83XaGc0o0/edit?usp=sharing"",""งบพรบ!EH66"")"),0)</f>
        <v>0</v>
      </c>
      <c r="N320" s="93">
        <f ca="1">IFERROR(__xludf.DUMMYFUNCTION("IMPORTRANGE(""https://docs.google.com/spreadsheets/d/1MeEWN-I1oV_STSDYn1IFDPWt_1FKiwhDph83XaGc0o0/edit?usp=sharing"",""งบพรบ!EJ66"")"),0)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IFERROR(__xludf.DUMMYFUNCTION("IMPORTRANGE(""https://docs.google.com/spreadsheets/d/1MeEWN-I1oV_STSDYn1IFDPWt_1FKiwhDph83XaGc0o0/edit?usp=sharing"",""งบพรบ!EF66"")"),0)</f>
        <v>0</v>
      </c>
      <c r="M323" s="93">
        <f ca="1">IFERROR(__xludf.DUMMYFUNCTION("IMPORTRANGE(""https://docs.google.com/spreadsheets/d/1MeEWN-I1oV_STSDYn1IFDPWt_1FKiwhDph83XaGc0o0/edit?usp=sharing"",""งบพรบ!EI66"")"),0)</f>
        <v>0</v>
      </c>
      <c r="N323" s="93">
        <f ca="1">IFERROR(__xludf.DUMMYFUNCTION("IMPORTRANGE(""https://docs.google.com/spreadsheets/d/1MeEWN-I1oV_STSDYn1IFDPWt_1FKiwhDph83XaGc0o0/edit?usp=sharing"",""งบพรบ!EK66"")"),0)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IFERROR(__xludf.DUMMYFUNCTION("IMPORTRANGE(""https://docs.google.com/spreadsheets/d/1QqKyyYR6Q21VydFLVH3TRQUabQu_ym0Zz7PgGX0-kHA/edit?usp=sharing"",""แผน!EG66"")"),400)</f>
        <v>400</v>
      </c>
      <c r="J327" s="444">
        <f ca="1">J338+J341+J342+J343</f>
        <v>559</v>
      </c>
      <c r="K327" s="445">
        <f ca="1">IF(I327&gt;0,J327*100/I327,0)</f>
        <v>139.75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159500</v>
      </c>
      <c r="N328" s="155">
        <f t="shared" ca="1" si="149"/>
        <v>109472.99</v>
      </c>
      <c r="O328" s="155">
        <f t="shared" ref="O328:O336" ca="1" si="150">IF(L328&gt;0,N328*100/L328,0)</f>
        <v>69.72801910828025</v>
      </c>
      <c r="P328" s="155">
        <f t="shared" ref="P328:P336" ca="1" si="151">IF(M328&gt;0,N328*100/M328,0)</f>
        <v>68.635103448275856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159500</v>
      </c>
      <c r="N330" s="93">
        <f t="shared" ca="1" si="152"/>
        <v>109472.99</v>
      </c>
      <c r="O330" s="93">
        <f t="shared" ca="1" si="150"/>
        <v>69.72801910828025</v>
      </c>
      <c r="P330" s="93">
        <f t="shared" ca="1" si="151"/>
        <v>68.635103448275856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159500</v>
      </c>
      <c r="N331" s="497">
        <f t="shared" ca="1" si="153"/>
        <v>109472.99</v>
      </c>
      <c r="O331" s="497">
        <f t="shared" ca="1" si="150"/>
        <v>69.72801910828025</v>
      </c>
      <c r="P331" s="497">
        <f t="shared" ca="1" si="151"/>
        <v>68.635103448275856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IFERROR(__xludf.DUMMYFUNCTION("IMPORTRANGE(""https://docs.google.com/spreadsheets/d/1MeEWN-I1oV_STSDYn1IFDPWt_1FKiwhDph83XaGc0o0/edit?usp=sharing"",""งบพรบ!EM66"")"),157000)</f>
        <v>157000</v>
      </c>
      <c r="M333" s="93">
        <f ca="1">IFERROR(__xludf.DUMMYFUNCTION("IMPORTRANGE(""https://docs.google.com/spreadsheets/d/1MeEWN-I1oV_STSDYn1IFDPWt_1FKiwhDph83XaGc0o0/edit?usp=sharing"",""งบพรบ!ER66"")"),159500)</f>
        <v>159500</v>
      </c>
      <c r="N333" s="93">
        <f ca="1">IFERROR(__xludf.DUMMYFUNCTION("IMPORTRANGE(""https://docs.google.com/spreadsheets/d/1MeEWN-I1oV_STSDYn1IFDPWt_1FKiwhDph83XaGc0o0/edit?usp=sharing"",""งบพรบ!ET66"")"),109472.99)</f>
        <v>109472.99</v>
      </c>
      <c r="O333" s="93">
        <f t="shared" ca="1" si="150"/>
        <v>69.72801910828025</v>
      </c>
      <c r="P333" s="93">
        <f t="shared" ca="1" si="151"/>
        <v>68.635103448275856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IFERROR(__xludf.DUMMYFUNCTION("IMPORTRANGE(""https://docs.google.com/spreadsheets/d/1MeEWN-I1oV_STSDYn1IFDPWt_1FKiwhDph83XaGc0o0/edit?usp=sharing"",""งบพรบ!EP66"")"),0)</f>
        <v>0</v>
      </c>
      <c r="M336" s="93">
        <f ca="1">IFERROR(__xludf.DUMMYFUNCTION("IMPORTRANGE(""https://docs.google.com/spreadsheets/d/1MeEWN-I1oV_STSDYn1IFDPWt_1FKiwhDph83XaGc0o0/edit?usp=sharing"",""งบพรบ!ES66"")"),0)</f>
        <v>0</v>
      </c>
      <c r="N336" s="93">
        <f ca="1">IFERROR(__xludf.DUMMYFUNCTION("IMPORTRANGE(""https://docs.google.com/spreadsheets/d/1MeEWN-I1oV_STSDYn1IFDPWt_1FKiwhDph83XaGc0o0/edit?usp=sharing"",""งบพรบ!EU66"")"),0)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IFERROR(__xludf.DUMMYFUNCTION("IMPORTRANGE(""https://docs.google.com/spreadsheets/d/1QqKyyYR6Q21VydFLVH3TRQUabQu_ym0Zz7PgGX0-kHA/edit?usp=sharing"",""แผน!EG66"")"),400)</f>
        <v>400</v>
      </c>
      <c r="J338" s="270">
        <f ca="1">IFERROR(__xludf.DUMMYFUNCTION("IMPORTRANGE(""https://docs.google.com/spreadsheets/d/1kVcqe37tkHyjCSG3S0O1AXqVkqjo8mSIZil3BcpIysc/edit?usp=sharing"",""ศูนย์!D66"")"),478)</f>
        <v>478</v>
      </c>
      <c r="K338" s="497">
        <f ca="1">IF(I338&gt;0,J338*100/I338,0)</f>
        <v>119.5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IFERROR(__xludf.DUMMYFUNCTION("IMPORTRANGE(""https://docs.google.com/spreadsheets/d/1QqKyyYR6Q21VydFLVH3TRQUabQu_ym0Zz7PgGX0-kHA/edit?usp=sharing"",""แผน!EH66"")"),2)</f>
        <v>2</v>
      </c>
      <c r="J340" s="270">
        <f ca="1">IFERROR(__xludf.DUMMYFUNCTION("IMPORTRANGE(""https://docs.google.com/spreadsheets/d/1kVcqe37tkHyjCSG3S0O1AXqVkqjo8mSIZil3BcpIysc/edit?usp=sharing"",""ศูนย์!E66"")"),0)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IFERROR(__xludf.DUMMYFUNCTION("IMPORTRANGE(""https://docs.google.com/spreadsheets/d/1kVcqe37tkHyjCSG3S0O1AXqVkqjo8mSIZil3BcpIysc/edit?usp=sharing"",""ศูนย์!F66"")"),0)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IFERROR(__xludf.DUMMYFUNCTION("IMPORTRANGE(""https://docs.google.com/spreadsheets/d/1kVcqe37tkHyjCSG3S0O1AXqVkqjo8mSIZil3BcpIysc/edit?usp=sharing"",""ศูนย์!H66"")"),81)</f>
        <v>81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824120</v>
      </c>
      <c r="M345" s="155">
        <f t="shared" ca="1" si="155"/>
        <v>893120</v>
      </c>
      <c r="N345" s="155">
        <f t="shared" ca="1" si="155"/>
        <v>686523.01</v>
      </c>
      <c r="O345" s="155">
        <f t="shared" ref="O345:O353" ca="1" si="156">IF(L345&gt;0,N345*100/L345,0)</f>
        <v>83.303767655195841</v>
      </c>
      <c r="P345" s="155">
        <f t="shared" ref="P345:P353" ca="1" si="157">IF(M345&gt;0,N345*100/M345,0)</f>
        <v>76.867947196345398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824120</v>
      </c>
      <c r="M347" s="93">
        <f t="shared" ca="1" si="158"/>
        <v>893120</v>
      </c>
      <c r="N347" s="93">
        <f t="shared" ca="1" si="158"/>
        <v>686523.01</v>
      </c>
      <c r="O347" s="93">
        <f t="shared" ca="1" si="156"/>
        <v>83.303767655195841</v>
      </c>
      <c r="P347" s="93">
        <f t="shared" ca="1" si="157"/>
        <v>76.867947196345398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611920</v>
      </c>
      <c r="M348" s="497">
        <f t="shared" ca="1" si="159"/>
        <v>680920</v>
      </c>
      <c r="N348" s="497">
        <f t="shared" ca="1" si="159"/>
        <v>474323.01</v>
      </c>
      <c r="O348" s="497">
        <f t="shared" ca="1" si="156"/>
        <v>77.513892338867819</v>
      </c>
      <c r="P348" s="497">
        <f t="shared" ca="1" si="157"/>
        <v>69.659139105915528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IFERROR(__xludf.DUMMYFUNCTION("IMPORTRANGE(""https://docs.google.com/spreadsheets/d/1MeEWN-I1oV_STSDYn1IFDPWt_1FKiwhDph83XaGc0o0/edit?usp=sharing"",""งบพรบ!EW66"")"),611920)</f>
        <v>611920</v>
      </c>
      <c r="M350" s="93">
        <f ca="1">IFERROR(__xludf.DUMMYFUNCTION("IMPORTRANGE(""https://docs.google.com/spreadsheets/d/1MeEWN-I1oV_STSDYn1IFDPWt_1FKiwhDph83XaGc0o0/edit?usp=sharing"",""งบพรบ!FB66"")"),680920)</f>
        <v>680920</v>
      </c>
      <c r="N350" s="93">
        <f ca="1">IFERROR(__xludf.DUMMYFUNCTION("IMPORTRANGE(""https://docs.google.com/spreadsheets/d/1MeEWN-I1oV_STSDYn1IFDPWt_1FKiwhDph83XaGc0o0/edit?usp=sharing"",""งบพรบ!FD66"")"),474323.01)</f>
        <v>474323.01</v>
      </c>
      <c r="O350" s="93">
        <f t="shared" ca="1" si="156"/>
        <v>77.513892338867819</v>
      </c>
      <c r="P350" s="93">
        <f t="shared" ca="1" si="157"/>
        <v>69.659139105915528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212200</v>
      </c>
      <c r="M351" s="497">
        <f t="shared" ca="1" si="160"/>
        <v>212200</v>
      </c>
      <c r="N351" s="497">
        <f t="shared" ca="1" si="160"/>
        <v>212200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IFERROR(__xludf.DUMMYFUNCTION("IMPORTRANGE(""https://docs.google.com/spreadsheets/d/1MeEWN-I1oV_STSDYn1IFDPWt_1FKiwhDph83XaGc0o0/edit?usp=sharing"",""งบพรบ!EZ66"")"),212200)</f>
        <v>212200</v>
      </c>
      <c r="M353" s="93">
        <f ca="1">IFERROR(__xludf.DUMMYFUNCTION("IMPORTRANGE(""https://docs.google.com/spreadsheets/d/1MeEWN-I1oV_STSDYn1IFDPWt_1FKiwhDph83XaGc0o0/edit?usp=sharing"",""งบพรบ!FC66"")"),212200)</f>
        <v>212200</v>
      </c>
      <c r="N353" s="93">
        <f ca="1">IFERROR(__xludf.DUMMYFUNCTION("IMPORTRANGE(""https://docs.google.com/spreadsheets/d/1MeEWN-I1oV_STSDYn1IFDPWt_1FKiwhDph83XaGc0o0/edit?usp=sharing"",""งบพรบ!FE66"")"),212200)</f>
        <v>212200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IFERROR(__xludf.DUMMYFUNCTION("IMPORTRANGE(""https://docs.google.com/spreadsheets/d/1QqKyyYR6Q21VydFLVH3TRQUabQu_ym0Zz7PgGX0-kHA/edit?usp=sharing"",""แผน!EP66"")"),110)</f>
        <v>110</v>
      </c>
      <c r="J355" s="464">
        <f ca="1">J362</f>
        <v>34</v>
      </c>
      <c r="K355" s="465">
        <f ca="1">IF(I355&gt;0,J355*100/I355,0)</f>
        <v>30.90909090909091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IFERROR(__xludf.DUMMYFUNCTION("IMPORTRANGE(""https://docs.google.com/spreadsheets/d/1XWAQStnk-4SwqDmLtmXYiTMKHgktTP8We1SCoS47DrQ/edit?usp=sharing"",""จัดที่ดิน!W66"")"),106)</f>
        <v>106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IFERROR(__xludf.DUMMYFUNCTION("IMPORTRANGE(""https://docs.google.com/spreadsheets/d/1QqKyyYR6Q21VydFLVH3TRQUabQu_ym0Zz7PgGX0-kHA/edit?usp=sharing"",""แผน!EO66"")"),900)</f>
        <v>900</v>
      </c>
      <c r="J359" s="270">
        <f ca="1">IFERROR(__xludf.DUMMYFUNCTION("IMPORTRANGE(""https://docs.google.com/spreadsheets/d/1XWAQStnk-4SwqDmLtmXYiTMKHgktTP8We1SCoS47DrQ/edit?usp=sharing"",""จัดที่ดิน!X66"")"),1260.99)</f>
        <v>1260.99</v>
      </c>
      <c r="K359" s="497">
        <f t="shared" ca="1" si="161"/>
        <v>140.11000000000001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IFERROR(__xludf.DUMMYFUNCTION("IMPORTRANGE(""https://docs.google.com/spreadsheets/d/1QqKyyYR6Q21VydFLVH3TRQUabQu_ym0Zz7PgGX0-kHA/edit?usp=sharing"",""แผน!EP66"")"),110)</f>
        <v>110</v>
      </c>
      <c r="J360" s="270">
        <f ca="1">IFERROR(__xludf.DUMMYFUNCTION("IMPORTRANGE(""https://docs.google.com/spreadsheets/d/1XWAQStnk-4SwqDmLtmXYiTMKHgktTP8We1SCoS47DrQ/edit?usp=sharing"",""จัดที่ดิน!Y66"")"),49)</f>
        <v>49</v>
      </c>
      <c r="K360" s="497">
        <f t="shared" ca="1" si="161"/>
        <v>44.545454545454547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IFERROR(__xludf.DUMMYFUNCTION("IMPORTRANGE(""https://docs.google.com/spreadsheets/d/1XWAQStnk-4SwqDmLtmXYiTMKHgktTP8We1SCoS47DrQ/edit?usp=sharing"",""จัดที่ดิน!Z66"")"),622.33)</f>
        <v>622.33000000000004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IFERROR(__xludf.DUMMYFUNCTION("IMPORTRANGE(""https://docs.google.com/spreadsheets/d/1QqKyyYR6Q21VydFLVH3TRQUabQu_ym0Zz7PgGX0-kHA/edit?usp=sharing"",""แผน!EP66"")"),110)</f>
        <v>110</v>
      </c>
      <c r="J362" s="270">
        <f ca="1">IFERROR(__xludf.DUMMYFUNCTION("IMPORTRANGE(""https://docs.google.com/spreadsheets/d/1XWAQStnk-4SwqDmLtmXYiTMKHgktTP8We1SCoS47DrQ/edit?usp=sharing"",""จัดที่ดิน!AA66"")"),34)</f>
        <v>34</v>
      </c>
      <c r="K362" s="497">
        <f t="shared" ca="1" si="161"/>
        <v>30.90909090909091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IFERROR(__xludf.DUMMYFUNCTION("IMPORTRANGE(""https://docs.google.com/spreadsheets/d/1XWAQStnk-4SwqDmLtmXYiTMKHgktTP8We1SCoS47DrQ/edit?usp=sharing"",""จัดที่ดิน!AB66"")"),461.11)</f>
        <v>461.11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160</v>
      </c>
      <c r="J364" s="478">
        <f t="shared" ca="1" si="162"/>
        <v>90</v>
      </c>
      <c r="K364" s="479">
        <f t="shared" ca="1" si="161"/>
        <v>56.25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IFERROR(__xludf.DUMMYFUNCTION("IMPORTRANGE(""https://docs.google.com/spreadsheets/d/1QqKyyYR6Q21VydFLVH3TRQUabQu_ym0Zz7PgGX0-kHA/edit?usp=sharing"",""แผน!EJ66"")"),10)</f>
        <v>10</v>
      </c>
      <c r="J365" s="490">
        <f ca="1">J372</f>
        <v>1</v>
      </c>
      <c r="K365" s="491">
        <f t="shared" ca="1" si="161"/>
        <v>10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IFERROR(__xludf.DUMMYFUNCTION("IMPORTRANGE(""https://docs.google.com/spreadsheets/d/1XWAQStnk-4SwqDmLtmXYiTMKHgktTP8We1SCoS47DrQ/edit?usp=sharing"",""จัดที่ดิน!E66"")"),25)</f>
        <v>25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IFERROR(__xludf.DUMMYFUNCTION("IMPORTRANGE(""https://docs.google.com/spreadsheets/d/1QqKyyYR6Q21VydFLVH3TRQUabQu_ym0Zz7PgGX0-kHA/edit?usp=sharing"",""แผน!EI66"")"),100)</f>
        <v>100</v>
      </c>
      <c r="J369" s="270">
        <f ca="1">IFERROR(__xludf.DUMMYFUNCTION("IMPORTRANGE(""https://docs.google.com/spreadsheets/d/1XWAQStnk-4SwqDmLtmXYiTMKHgktTP8We1SCoS47DrQ/edit?usp=sharing"",""จัดที่ดิน!F66"")"),279.92)</f>
        <v>279.92</v>
      </c>
      <c r="K369" s="497">
        <f t="shared" ca="1" si="163"/>
        <v>279.92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IFERROR(__xludf.DUMMYFUNCTION("IMPORTRANGE(""https://docs.google.com/spreadsheets/d/1QqKyyYR6Q21VydFLVH3TRQUabQu_ym0Zz7PgGX0-kHA/edit?usp=sharing"",""แผน!EJ66"")"),10)</f>
        <v>10</v>
      </c>
      <c r="J370" s="270">
        <f ca="1">IFERROR(__xludf.DUMMYFUNCTION("IMPORTRANGE(""https://docs.google.com/spreadsheets/d/1XWAQStnk-4SwqDmLtmXYiTMKHgktTP8We1SCoS47DrQ/edit?usp=sharing"",""จัดที่ดิน!G66"")"),9)</f>
        <v>9</v>
      </c>
      <c r="K370" s="497">
        <f t="shared" ca="1" si="163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IFERROR(__xludf.DUMMYFUNCTION("IMPORTRANGE(""https://docs.google.com/spreadsheets/d/1XWAQStnk-4SwqDmLtmXYiTMKHgktTP8We1SCoS47DrQ/edit?usp=sharing"",""จัดที่ดิน!H66"")"),120.72)</f>
        <v>120.72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IFERROR(__xludf.DUMMYFUNCTION("IMPORTRANGE(""https://docs.google.com/spreadsheets/d/1QqKyyYR6Q21VydFLVH3TRQUabQu_ym0Zz7PgGX0-kHA/edit?usp=sharing"",""แผน!EJ66"")"),10)</f>
        <v>10</v>
      </c>
      <c r="J372" s="270">
        <f ca="1">IFERROR(__xludf.DUMMYFUNCTION("IMPORTRANGE(""https://docs.google.com/spreadsheets/d/1XWAQStnk-4SwqDmLtmXYiTMKHgktTP8We1SCoS47DrQ/edit?usp=sharing"",""จัดที่ดิน!I66"")"),1)</f>
        <v>1</v>
      </c>
      <c r="K372" s="497">
        <f t="shared" ca="1" si="163"/>
        <v>10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IFERROR(__xludf.DUMMYFUNCTION("IMPORTRANGE(""https://docs.google.com/spreadsheets/d/1XWAQStnk-4SwqDmLtmXYiTMKHgktTP8We1SCoS47DrQ/edit?usp=sharing"",""จัดที่ดิน!J66"")"),38.94)</f>
        <v>38.94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IFERROR(__xludf.DUMMYFUNCTION("IMPORTRANGE(""https://docs.google.com/spreadsheets/d/1QqKyyYR6Q21VydFLVH3TRQUabQu_ym0Zz7PgGX0-kHA/edit?usp=sharing"",""แผน!EU66"")"),150)</f>
        <v>150</v>
      </c>
      <c r="J374" s="490">
        <f ca="1">J381</f>
        <v>89</v>
      </c>
      <c r="K374" s="491">
        <f t="shared" ca="1" si="163"/>
        <v>59.333333333333336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IFERROR(__xludf.DUMMYFUNCTION("IMPORTRANGE(""https://docs.google.com/spreadsheets/d/1XWAQStnk-4SwqDmLtmXYiTMKHgktTP8We1SCoS47DrQ/edit?usp=sharing"",""จัดที่ดิน!AH66"")"),81)</f>
        <v>81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IFERROR(__xludf.DUMMYFUNCTION("IMPORTRANGE(""https://docs.google.com/spreadsheets/d/1QqKyyYR6Q21VydFLVH3TRQUabQu_ym0Zz7PgGX0-kHA/edit?usp=sharing"",""แผน!ET66"")"),800)</f>
        <v>800</v>
      </c>
      <c r="J378" s="270">
        <f ca="1">IFERROR(__xludf.DUMMYFUNCTION("IMPORTRANGE(""https://docs.google.com/spreadsheets/d/1XWAQStnk-4SwqDmLtmXYiTMKHgktTP8We1SCoS47DrQ/edit?usp=sharing"",""จัดที่ดิน!AI66"")"),981.07)</f>
        <v>981.07</v>
      </c>
      <c r="K378" s="497">
        <f t="shared" ca="1" si="164"/>
        <v>122.63375000000001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IFERROR(__xludf.DUMMYFUNCTION("IMPORTRANGE(""https://docs.google.com/spreadsheets/d/1QqKyyYR6Q21VydFLVH3TRQUabQu_ym0Zz7PgGX0-kHA/edit?usp=sharing"",""แผน!EU66"")"),150)</f>
        <v>150</v>
      </c>
      <c r="J379" s="270">
        <f ca="1">IFERROR(__xludf.DUMMYFUNCTION("IMPORTRANGE(""https://docs.google.com/spreadsheets/d/1XWAQStnk-4SwqDmLtmXYiTMKHgktTP8We1SCoS47DrQ/edit?usp=sharing"",""จัดที่ดิน!AJ66"")"),110)</f>
        <v>110</v>
      </c>
      <c r="K379" s="497">
        <f t="shared" ca="1" si="164"/>
        <v>73.333333333333329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IFERROR(__xludf.DUMMYFUNCTION("IMPORTRANGE(""https://docs.google.com/spreadsheets/d/1XWAQStnk-4SwqDmLtmXYiTMKHgktTP8We1SCoS47DrQ/edit?usp=sharing"",""จัดที่ดิน!AK66"")"),1366.17)</f>
        <v>1366.17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IFERROR(__xludf.DUMMYFUNCTION("IMPORTRANGE(""https://docs.google.com/spreadsheets/d/1QqKyyYR6Q21VydFLVH3TRQUabQu_ym0Zz7PgGX0-kHA/edit?usp=sharing"",""แผน!EU66"")"),150)</f>
        <v>150</v>
      </c>
      <c r="J381" s="270">
        <f ca="1">IFERROR(__xludf.DUMMYFUNCTION("IMPORTRANGE(""https://docs.google.com/spreadsheets/d/1XWAQStnk-4SwqDmLtmXYiTMKHgktTP8We1SCoS47DrQ/edit?usp=sharing"",""จัดที่ดิน!AL66"")"),89)</f>
        <v>89</v>
      </c>
      <c r="K381" s="497">
        <f t="shared" ca="1" si="164"/>
        <v>59.333333333333336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IFERROR(__xludf.DUMMYFUNCTION("IMPORTRANGE(""https://docs.google.com/spreadsheets/d/1XWAQStnk-4SwqDmLtmXYiTMKHgktTP8We1SCoS47DrQ/edit?usp=sharing"",""จัดที่ดิน!AM66"")"),1029.72)</f>
        <v>1029.72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IFERROR(__xludf.DUMMYFUNCTION("IMPORTRANGE(""https://docs.google.com/spreadsheets/d/1QqKyyYR6Q21VydFLVH3TRQUabQu_ym0Zz7PgGX0-kHA/edit?usp=sharing"",""แผน!EW66"")"),20)</f>
        <v>20</v>
      </c>
      <c r="J385" s="501">
        <f ca="1">IFERROR(__xludf.DUMMYFUNCTION("IMPORTRANGE(""https://docs.google.com/spreadsheets/d/1XWAQStnk-4SwqDmLtmXYiTMKHgktTP8We1SCoS47DrQ/edit?usp=sharing"",""จัดที่ดิน!AP66"")"),0)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IFERROR(__xludf.DUMMYFUNCTION("IMPORTRANGE(""https://docs.google.com/spreadsheets/d/1MeEWN-I1oV_STSDYn1IFDPWt_1FKiwhDph83XaGc0o0/edit?usp=sharing"",""งบพรบ!FG66"")"),0)</f>
        <v>0</v>
      </c>
      <c r="M394" s="93">
        <f ca="1">IFERROR(__xludf.DUMMYFUNCTION("IMPORTRANGE(""https://docs.google.com/spreadsheets/d/1MeEWN-I1oV_STSDYn1IFDPWt_1FKiwhDph83XaGc0o0/edit?usp=sharing"",""งบพรบ!FL66"")"),0)</f>
        <v>0</v>
      </c>
      <c r="N394" s="93">
        <f ca="1">IFERROR(__xludf.DUMMYFUNCTION("IMPORTRANGE(""https://docs.google.com/spreadsheets/d/1MeEWN-I1oV_STSDYn1IFDPWt_1FKiwhDph83XaGc0o0/edit?usp=sharing"",""งบพรบ!FN66"")"),0)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IFERROR(__xludf.DUMMYFUNCTION("IMPORTRANGE(""https://docs.google.com/spreadsheets/d/1MeEWN-I1oV_STSDYn1IFDPWt_1FKiwhDph83XaGc0o0/edit?usp=sharing"",""งบพรบ!FJ66"")"),0)</f>
        <v>0</v>
      </c>
      <c r="M397" s="93">
        <f ca="1">IFERROR(__xludf.DUMMYFUNCTION("IMPORTRANGE(""https://docs.google.com/spreadsheets/d/1MeEWN-I1oV_STSDYn1IFDPWt_1FKiwhDph83XaGc0o0/edit?usp=sharing"",""งบพรบ!FM66"")"),0)</f>
        <v>0</v>
      </c>
      <c r="N397" s="93">
        <f ca="1">IFERROR(__xludf.DUMMYFUNCTION("IMPORTRANGE(""https://docs.google.com/spreadsheets/d/1MeEWN-I1oV_STSDYn1IFDPWt_1FKiwhDph83XaGc0o0/edit?usp=sharing"",""งบพรบ!FO66"")"),0)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IFERROR(__xludf.DUMMYFUNCTION("IMPORTRANGE(""https://docs.google.com/spreadsheets/d/1MeEWN-I1oV_STSDYn1IFDPWt_1FKiwhDph83XaGc0o0/edit?usp=sharing"",""งบพรบ!FQ66"")"),0)</f>
        <v>0</v>
      </c>
      <c r="M407" s="93">
        <f ca="1">IFERROR(__xludf.DUMMYFUNCTION("IMPORTRANGE(""https://docs.google.com/spreadsheets/d/1MeEWN-I1oV_STSDYn1IFDPWt_1FKiwhDph83XaGc0o0/edit?usp=sharing"",""งบพรบ!FV66"")"),0)</f>
        <v>0</v>
      </c>
      <c r="N407" s="93">
        <f ca="1">IFERROR(__xludf.DUMMYFUNCTION("IMPORTRANGE(""https://docs.google.com/spreadsheets/d/1MeEWN-I1oV_STSDYn1IFDPWt_1FKiwhDph83XaGc0o0/edit?usp=sharing"",""งบพรบ!FX66"")"),0)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IFERROR(__xludf.DUMMYFUNCTION("IMPORTRANGE(""https://docs.google.com/spreadsheets/d/1MeEWN-I1oV_STSDYn1IFDPWt_1FKiwhDph83XaGc0o0/edit?usp=sharing"",""งบพรบ!FT66"")"),0)</f>
        <v>0</v>
      </c>
      <c r="M410" s="93">
        <f ca="1">IFERROR(__xludf.DUMMYFUNCTION("IMPORTRANGE(""https://docs.google.com/spreadsheets/d/1MeEWN-I1oV_STSDYn1IFDPWt_1FKiwhDph83XaGc0o0/edit?usp=sharing"",""งบพรบ!FW66"")"),0)</f>
        <v>0</v>
      </c>
      <c r="N410" s="93">
        <f ca="1">IFERROR(__xludf.DUMMYFUNCTION("IMPORTRANGE(""https://docs.google.com/spreadsheets/d/1MeEWN-I1oV_STSDYn1IFDPWt_1FKiwhDph83XaGc0o0/edit?usp=sharing"",""งบพรบ!FY66"")"),0)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850493</v>
      </c>
      <c r="M414" s="549">
        <f t="shared" ca="1" si="181"/>
        <v>850493</v>
      </c>
      <c r="N414" s="549">
        <f t="shared" si="181"/>
        <v>554157</v>
      </c>
      <c r="O414" s="549">
        <f ca="1">IF(L414&gt;0,N414*100/L414,0)</f>
        <v>65.157150029453504</v>
      </c>
      <c r="P414" s="549">
        <f ca="1">IF(M414&gt;0,N414*100/M414,0)</f>
        <v>65.157150029453504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80960</v>
      </c>
      <c r="M419" s="155">
        <f t="shared" ca="1" si="184"/>
        <v>80960</v>
      </c>
      <c r="N419" s="155">
        <f t="shared" si="184"/>
        <v>54100</v>
      </c>
      <c r="O419" s="155">
        <f t="shared" ref="O419:O424" ca="1" si="185">IF(L419&gt;0,N419*100/L419,0)</f>
        <v>66.823122529644266</v>
      </c>
      <c r="P419" s="155">
        <f t="shared" ref="P419:P424" ca="1" si="186">IF(M419&gt;0,N419*100/M419,0)</f>
        <v>66.823122529644266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80960</v>
      </c>
      <c r="M421" s="93">
        <f t="shared" ca="1" si="187"/>
        <v>80960</v>
      </c>
      <c r="N421" s="93">
        <f t="shared" si="187"/>
        <v>54100</v>
      </c>
      <c r="O421" s="93">
        <f t="shared" ca="1" si="185"/>
        <v>66.823122529644266</v>
      </c>
      <c r="P421" s="93">
        <f t="shared" ca="1" si="186"/>
        <v>66.823122529644266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80960</v>
      </c>
      <c r="M422" s="497">
        <f t="shared" ca="1" si="188"/>
        <v>80960</v>
      </c>
      <c r="N422" s="497">
        <f t="shared" si="188"/>
        <v>54100</v>
      </c>
      <c r="O422" s="497">
        <f t="shared" ca="1" si="185"/>
        <v>66.823122529644266</v>
      </c>
      <c r="P422" s="497">
        <f t="shared" ca="1" si="186"/>
        <v>66.823122529644266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IFERROR(__xludf.DUMMYFUNCTION("IMPORTRANGE(""https://docs.google.com/spreadsheets/d/1QqKyyYR6Q21VydFLVH3TRQUabQu_ym0Zz7PgGX0-kHA/edit?usp=sharing"",""แผน!EY66"")"),80960)</f>
        <v>80960</v>
      </c>
      <c r="M424" s="93">
        <f ca="1">L424</f>
        <v>80960</v>
      </c>
      <c r="N424" s="93">
        <f>N425+N426+N427+N428</f>
        <v>54100</v>
      </c>
      <c r="O424" s="93">
        <f t="shared" ca="1" si="185"/>
        <v>66.823122529644266</v>
      </c>
      <c r="P424" s="93">
        <f t="shared" ca="1" si="186"/>
        <v>66.823122529644266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36500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3400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14200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IFERROR(__xludf.DUMMYFUNCTION("IMPORTRANGE(""https://docs.google.com/spreadsheets/d/1QqKyyYR6Q21VydFLVH3TRQUabQu_ym0Zz7PgGX0-kHA/edit?usp=sharing"",""แผน!FC66"")"),15)</f>
        <v>15</v>
      </c>
      <c r="J435" s="579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IFERROR(__xludf.DUMMYFUNCTION("IMPORTRANGE(""https://docs.google.com/spreadsheets/d/1QqKyyYR6Q21VydFLVH3TRQUabQu_ym0Zz7PgGX0-kHA/edit?usp=sharing"",""แผน!FF66"")"),15)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100</v>
      </c>
      <c r="J443" s="565">
        <f t="shared" si="196"/>
        <v>100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180080</v>
      </c>
      <c r="M444" s="195">
        <f t="shared" ca="1" si="197"/>
        <v>180080</v>
      </c>
      <c r="N444" s="195">
        <f t="shared" si="197"/>
        <v>150000</v>
      </c>
      <c r="O444" s="195">
        <f t="shared" ref="O444:O449" ca="1" si="198">IF(L444&gt;0,N444*100/L444,0)</f>
        <v>83.296312749888941</v>
      </c>
      <c r="P444" s="195">
        <f t="shared" ref="P444:P449" ca="1" si="199">IF(M444&gt;0,N444*100/M444,0)</f>
        <v>83.296312749888941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180080</v>
      </c>
      <c r="M446" s="93">
        <f t="shared" ca="1" si="200"/>
        <v>180080</v>
      </c>
      <c r="N446" s="93">
        <f t="shared" si="200"/>
        <v>150000</v>
      </c>
      <c r="O446" s="93">
        <f t="shared" ca="1" si="198"/>
        <v>83.296312749888941</v>
      </c>
      <c r="P446" s="93">
        <f t="shared" ca="1" si="199"/>
        <v>83.296312749888941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180080</v>
      </c>
      <c r="M447" s="497">
        <f t="shared" ca="1" si="201"/>
        <v>180080</v>
      </c>
      <c r="N447" s="497">
        <f t="shared" si="201"/>
        <v>150000</v>
      </c>
      <c r="O447" s="497">
        <f t="shared" ca="1" si="198"/>
        <v>83.296312749888941</v>
      </c>
      <c r="P447" s="497">
        <f t="shared" ca="1" si="199"/>
        <v>83.296312749888941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IFERROR(__xludf.DUMMYFUNCTION("IMPORTRANGE(""https://docs.google.com/spreadsheets/d/1QqKyyYR6Q21VydFLVH3TRQUabQu_ym0Zz7PgGX0-kHA/edit?usp=sharing"",""แผน!FJ66"")"),180080)</f>
        <v>180080</v>
      </c>
      <c r="M449" s="93">
        <f ca="1">L449</f>
        <v>180080</v>
      </c>
      <c r="N449" s="93">
        <f>N450+N451+N452+N453</f>
        <v>150000</v>
      </c>
      <c r="O449" s="93">
        <f t="shared" ca="1" si="198"/>
        <v>83.296312749888941</v>
      </c>
      <c r="P449" s="93">
        <f t="shared" ca="1" si="199"/>
        <v>83.296312749888941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41540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104600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3860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IFERROR(__xludf.DUMMYFUNCTION("IMPORTRANGE(""https://docs.google.com/spreadsheets/d/1QqKyyYR6Q21VydFLVH3TRQUabQu_ym0Zz7PgGX0-kHA/edit?usp=sharing"",""แผน!FN66"")"),30)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IFERROR(__xludf.DUMMYFUNCTION("IMPORTRANGE(""https://docs.google.com/spreadsheets/d/1QqKyyYR6Q21VydFLVH3TRQUabQu_ym0Zz7PgGX0-kHA/edit?usp=sharing"",""แผน!FO66"")"),100)</f>
        <v>100</v>
      </c>
      <c r="J462" s="215">
        <v>100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IFERROR(__xludf.DUMMYFUNCTION("IMPORTRANGE(""https://docs.google.com/spreadsheets/d/1QqKyyYR6Q21VydFLVH3TRQUabQu_ym0Zz7PgGX0-kHA/edit?usp=sharing"",""แผน!FO66"")"),100)</f>
        <v>100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IFERROR(__xludf.DUMMYFUNCTION("IMPORTRANGE(""https://docs.google.com/spreadsheets/d/1QqKyyYR6Q21VydFLVH3TRQUabQu_ym0Zz7PgGX0-kHA/edit?usp=sharing"",""แผน!FN66"")"),30)</f>
        <v>30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IFERROR(__xludf.DUMMYFUNCTION("IMPORTRANGE(""https://docs.google.com/spreadsheets/d/1QqKyyYR6Q21VydFLVH3TRQUabQu_ym0Zz7PgGX0-kHA/edit?usp=sharing"",""แผน!FX66"")"),21)</f>
        <v>21</v>
      </c>
      <c r="J465" s="585">
        <f>J485+J489+J492</f>
        <v>20</v>
      </c>
      <c r="K465" s="586">
        <f t="shared" ref="K465:K466" ca="1" si="205">IF(I465&gt;0,J465*100/I465,0)</f>
        <v>95.238095238095241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IFERROR(__xludf.DUMMYFUNCTION("IMPORTRANGE(""https://docs.google.com/spreadsheets/d/1QqKyyYR6Q21VydFLVH3TRQUabQu_ym0Zz7PgGX0-kHA/edit?usp=sharing"",""แผน!FW66"")"),200)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180043</v>
      </c>
      <c r="M467" s="195">
        <f t="shared" ca="1" si="206"/>
        <v>180043</v>
      </c>
      <c r="N467" s="195">
        <f t="shared" si="206"/>
        <v>163891</v>
      </c>
      <c r="O467" s="195">
        <f t="shared" ref="O467:O472" ca="1" si="207">IF(L467&gt;0,N467*100/L467,0)</f>
        <v>91.028809784329297</v>
      </c>
      <c r="P467" s="195">
        <f t="shared" ref="P467:P472" ca="1" si="208">IF(M467&gt;0,N467*100/M467,0)</f>
        <v>91.028809784329297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180043</v>
      </c>
      <c r="M469" s="93">
        <f t="shared" ca="1" si="209"/>
        <v>180043</v>
      </c>
      <c r="N469" s="93">
        <f t="shared" si="209"/>
        <v>163891</v>
      </c>
      <c r="O469" s="93">
        <f t="shared" ca="1" si="207"/>
        <v>91.028809784329297</v>
      </c>
      <c r="P469" s="93">
        <f t="shared" ca="1" si="208"/>
        <v>91.028809784329297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180043</v>
      </c>
      <c r="M470" s="497">
        <f t="shared" ca="1" si="210"/>
        <v>180043</v>
      </c>
      <c r="N470" s="497">
        <f t="shared" si="210"/>
        <v>163891</v>
      </c>
      <c r="O470" s="497">
        <f t="shared" ca="1" si="207"/>
        <v>91.028809784329297</v>
      </c>
      <c r="P470" s="497">
        <f t="shared" ca="1" si="208"/>
        <v>91.028809784329297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IFERROR(__xludf.DUMMYFUNCTION("IMPORTRANGE(""https://docs.google.com/spreadsheets/d/1QqKyyYR6Q21VydFLVH3TRQUabQu_ym0Zz7PgGX0-kHA/edit?usp=sharing"",""แผน!FS66"")"),180043)</f>
        <v>180043</v>
      </c>
      <c r="M472" s="93">
        <f ca="1">L472</f>
        <v>180043</v>
      </c>
      <c r="N472" s="93">
        <f>N473+N474+N475+N476</f>
        <v>163891</v>
      </c>
      <c r="O472" s="93">
        <f t="shared" ca="1" si="207"/>
        <v>91.028809784329297</v>
      </c>
      <c r="P472" s="93">
        <f t="shared" ca="1" si="208"/>
        <v>91.028809784329297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130100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8888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IFERROR(__xludf.DUMMYFUNCTION("IMPORTRANGE(""https://docs.google.com/spreadsheets/d/1QqKyyYR6Q21VydFLVH3TRQUabQu_ym0Zz7PgGX0-kHA/edit?usp=sharing"",""แผน!FY66"")"),180)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IFERROR(__xludf.DUMMYFUNCTION("IMPORTRANGE(""https://docs.google.com/spreadsheets/d/1QqKyyYR6Q21VydFLVH3TRQUabQu_ym0Zz7PgGX0-kHA/edit?usp=sharing"",""แผน!FZ66"")"),18)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IFERROR(__xludf.DUMMYFUNCTION("IMPORTRANGE(""https://docs.google.com/spreadsheets/d/1QqKyyYR6Q21VydFLVH3TRQUabQu_ym0Zz7PgGX0-kHA/edit?usp=sharing"",""แผน!GA66"")"),20)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IFERROR(__xludf.DUMMYFUNCTION("IMPORTRANGE(""https://docs.google.com/spreadsheets/d/1QqKyyYR6Q21VydFLVH3TRQUabQu_ym0Zz7PgGX0-kHA/edit?usp=sharing"",""แผน!GB66"")"),2)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IFERROR(__xludf.DUMMYFUNCTION("IMPORTRANGE(""https://docs.google.com/spreadsheets/d/1QqKyyYR6Q21VydFLVH3TRQUabQu_ym0Zz7PgGX0-kHA/edit?usp=sharing"",""แผน!GC66"")"),1)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IFERROR(__xludf.DUMMYFUNCTION("IMPORTRANGE(""https://docs.google.com/spreadsheets/d/1QqKyyYR6Q21VydFLVH3TRQUabQu_ym0Zz7PgGX0-kHA/edit?usp=sharing"",""แผน!FY66"")"),180)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IFERROR(__xludf.DUMMYFUNCTION("IMPORTRANGE(""https://docs.google.com/spreadsheets/d/1QqKyyYR6Q21VydFLVH3TRQUabQu_ym0Zz7PgGX0-kHA/edit?usp=sharing"",""แผน!GA66"")"),20)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IFERROR(__xludf.DUMMYFUNCTION("IMPORTRANGE(""https://docs.google.com/spreadsheets/d/1QqKyyYR6Q21VydFLVH3TRQUabQu_ym0Zz7PgGX0-kHA/edit?usp=sharing"",""แผน!GU66"")"),0)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236000</v>
      </c>
      <c r="M544" s="155">
        <f t="shared" ca="1" si="236"/>
        <v>236000</v>
      </c>
      <c r="N544" s="155">
        <f t="shared" si="236"/>
        <v>178166</v>
      </c>
      <c r="O544" s="155">
        <f t="shared" ref="O544:O549" ca="1" si="237">IF(L544&gt;0,N544*100/L544,0)</f>
        <v>75.494067796610167</v>
      </c>
      <c r="P544" s="155">
        <f t="shared" ref="P544:P549" ca="1" si="238">IF(M544&gt;0,N544*100/M544,0)</f>
        <v>75.494067796610167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236000</v>
      </c>
      <c r="M546" s="93">
        <f t="shared" ca="1" si="240"/>
        <v>236000</v>
      </c>
      <c r="N546" s="93">
        <f t="shared" si="240"/>
        <v>178166</v>
      </c>
      <c r="O546" s="93">
        <f t="shared" ca="1" si="237"/>
        <v>75.494067796610167</v>
      </c>
      <c r="P546" s="93">
        <f t="shared" ca="1" si="238"/>
        <v>75.494067796610167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236000</v>
      </c>
      <c r="M547" s="497">
        <f t="shared" ca="1" si="241"/>
        <v>236000</v>
      </c>
      <c r="N547" s="497">
        <f t="shared" si="241"/>
        <v>178166</v>
      </c>
      <c r="O547" s="497">
        <f t="shared" ca="1" si="237"/>
        <v>75.494067796610167</v>
      </c>
      <c r="P547" s="497">
        <f t="shared" ca="1" si="238"/>
        <v>75.494067796610167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IFERROR(__xludf.DUMMYFUNCTION("IMPORTRANGE(""https://docs.google.com/spreadsheets/d/1QqKyyYR6Q21VydFLVH3TRQUabQu_ym0Zz7PgGX0-kHA/edit?usp=sharing"",""แผน!HB66"")"),236000)</f>
        <v>236000</v>
      </c>
      <c r="M549" s="93">
        <f ca="1">L549</f>
        <v>236000</v>
      </c>
      <c r="N549" s="93">
        <f>N550+N551+N552+N553+N554</f>
        <v>178166</v>
      </c>
      <c r="O549" s="93">
        <f t="shared" ca="1" si="237"/>
        <v>75.494067796610167</v>
      </c>
      <c r="P549" s="93">
        <f t="shared" ca="1" si="238"/>
        <v>75.494067796610167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83840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90566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3760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1292.23</v>
      </c>
      <c r="J592" s="703">
        <f t="shared" si="253"/>
        <v>595</v>
      </c>
      <c r="K592" s="672">
        <f t="shared" ref="K592:K594" ca="1" si="254">IF(I592&gt;0,J592*100/I592,0)</f>
        <v>46.044434814235856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IFERROR(__xludf.DUMMYFUNCTION("IMPORTRANGE(""https://docs.google.com/spreadsheets/d/1QqKyyYR6Q21VydFLVH3TRQUabQu_ym0Zz7PgGX0-kHA/edit?usp=sharing"",""แผน!HJ66"")"),1292.23)</f>
        <v>1292.23</v>
      </c>
      <c r="J593" s="193">
        <f t="shared" ref="J593:J594" si="255">J595+J603+J609</f>
        <v>595</v>
      </c>
      <c r="K593" s="411">
        <f t="shared" ca="1" si="254"/>
        <v>46.044434814235856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IFERROR(__xludf.DUMMYFUNCTION("IMPORTRANGE(""https://docs.google.com/spreadsheets/d/1QqKyyYR6Q21VydFLVH3TRQUabQu_ym0Zz7PgGX0-kHA/edit?usp=sharing"",""แผน!HI66"")"),80)</f>
        <v>80</v>
      </c>
      <c r="J594" s="193">
        <f t="shared" si="255"/>
        <v>37</v>
      </c>
      <c r="K594" s="411">
        <f t="shared" ca="1" si="254"/>
        <v>46.25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22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84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283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16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228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15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228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19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173410</v>
      </c>
      <c r="M629" s="195">
        <f t="shared" ca="1" si="263"/>
        <v>173410</v>
      </c>
      <c r="N629" s="195">
        <f t="shared" si="263"/>
        <v>8000</v>
      </c>
      <c r="O629" s="195">
        <f t="shared" ref="O629:O634" ca="1" si="264">IF(L629&gt;0,N629*100/L629,0)</f>
        <v>4.6133440978028952</v>
      </c>
      <c r="P629" s="195">
        <f t="shared" ref="P629:P634" ca="1" si="265">IF(M629&gt;0,N629*100/M629,0)</f>
        <v>4.6133440978028952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173410</v>
      </c>
      <c r="M631" s="93">
        <f t="shared" ca="1" si="266"/>
        <v>173410</v>
      </c>
      <c r="N631" s="93">
        <f t="shared" si="266"/>
        <v>8000</v>
      </c>
      <c r="O631" s="93">
        <f t="shared" ca="1" si="264"/>
        <v>4.6133440978028952</v>
      </c>
      <c r="P631" s="93">
        <f t="shared" ca="1" si="265"/>
        <v>4.6133440978028952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173410</v>
      </c>
      <c r="M632" s="497">
        <f t="shared" ca="1" si="267"/>
        <v>173410</v>
      </c>
      <c r="N632" s="497">
        <f t="shared" si="267"/>
        <v>8000</v>
      </c>
      <c r="O632" s="497">
        <f t="shared" ca="1" si="264"/>
        <v>4.6133440978028952</v>
      </c>
      <c r="P632" s="497">
        <f t="shared" ca="1" si="265"/>
        <v>4.6133440978028952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IFERROR(__xludf.DUMMYFUNCTION("IMPORTRANGE(""https://docs.google.com/spreadsheets/d/1QqKyyYR6Q21VydFLVH3TRQUabQu_ym0Zz7PgGX0-kHA/edit?usp=sharing"",""แผน!HN66"")"),173410)</f>
        <v>173410</v>
      </c>
      <c r="M634" s="93">
        <f ca="1">L634</f>
        <v>173410</v>
      </c>
      <c r="N634" s="93">
        <f>N635+N636+N637+N638</f>
        <v>8000</v>
      </c>
      <c r="O634" s="93">
        <f t="shared" ca="1" si="264"/>
        <v>4.6133440978028952</v>
      </c>
      <c r="P634" s="93">
        <f t="shared" ca="1" si="265"/>
        <v>4.6133440978028952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8000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IFERROR(__xludf.DUMMYFUNCTION("IMPORTRANGE(""https://docs.google.com/spreadsheets/d/1QqKyyYR6Q21VydFLVH3TRQUabQu_ym0Zz7PgGX0-kHA/edit?usp=sharing"",""แผน!HR66"")"),1)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IFERROR(__xludf.DUMMYFUNCTION("IMPORTRANGE(""https://docs.google.com/spreadsheets/d/1QqKyyYR6Q21VydFLVH3TRQUabQu_ym0Zz7PgGX0-kHA/edit?usp=sharing"",""แผน!HR66"")"),1)</f>
        <v>1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IFERROR(__xludf.DUMMYFUNCTION("IMPORTRANGE(""https://docs.google.com/spreadsheets/d/1XWAQStnk-4SwqDmLtmXYiTMKHgktTP8We1SCoS47DrQ/edit?usp=sharing"",""จัดที่ดิน!AS66"")"),21)</f>
        <v>21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IFERROR(__xludf.DUMMYFUNCTION("IMPORTRANGE(""https://docs.google.com/spreadsheets/d/1XWAQStnk-4SwqDmLtmXYiTMKHgktTP8We1SCoS47DrQ/edit?usp=sharing"",""จัดที่ดิน!AT66"")"),12.62)</f>
        <v>12.62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IFERROR(__xludf.DUMMYFUNCTION("IMPORTRANGE(""https://docs.google.com/spreadsheets/d/1QqKyyYR6Q21VydFLVH3TRQUabQu_ym0Zz7PgGX0-kHA/edit?usp=sharing"",""แผน!HS66"")"),19)</f>
        <v>19</v>
      </c>
      <c r="J647" s="270">
        <f ca="1">IFERROR(__xludf.DUMMYFUNCTION("IMPORTRANGE(""https://docs.google.com/spreadsheets/d/1XWAQStnk-4SwqDmLtmXYiTMKHgktTP8We1SCoS47DrQ/edit?usp=sharing"",""จัดที่ดิน!AU66"")"),1)</f>
        <v>1</v>
      </c>
      <c r="K647" s="163">
        <f t="shared" ca="1" si="271"/>
        <v>5.2631578947368425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IFERROR(__xludf.DUMMYFUNCTION("IMPORTRANGE(""https://docs.google.com/spreadsheets/d/1XWAQStnk-4SwqDmLtmXYiTMKHgktTP8We1SCoS47DrQ/edit?usp=sharing"",""จัดที่ดิน!AV66"")"),0.47)</f>
        <v>0.47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IFERROR(__xludf.DUMMYFUNCTION("IMPORTRANGE(""https://docs.google.com/spreadsheets/d/1QqKyyYR6Q21VydFLVH3TRQUabQu_ym0Zz7PgGX0-kHA/edit?usp=sharing"",""แผน!HS66"")"),19)</f>
        <v>19</v>
      </c>
      <c r="J649" s="270">
        <f ca="1">IFERROR(__xludf.DUMMYFUNCTION("IMPORTRANGE(""https://docs.google.com/spreadsheets/d/1XWAQStnk-4SwqDmLtmXYiTMKHgktTP8We1SCoS47DrQ/edit?usp=sharing"",""จัดที่ดิน!AW66"")"),0)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IFERROR(__xludf.DUMMYFUNCTION("IMPORTRANGE(""https://docs.google.com/spreadsheets/d/1XWAQStnk-4SwqDmLtmXYiTMKHgktTP8We1SCoS47DrQ/edit?usp=sharing"",""จัดที่ดิน!AX66"")"),0)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IFERROR(__xludf.DUMMYFUNCTION("IMPORTRANGE(""https://docs.google.com/spreadsheets/d/1QqKyyYR6Q21VydFLVH3TRQUabQu_ym0Zz7PgGX0-kHA/edit?usp=sharing"",""แผน!HS66"")"),19)</f>
        <v>19</v>
      </c>
      <c r="J651" s="270">
        <f ca="1">IFERROR(__xludf.DUMMYFUNCTION("IMPORTRANGE(""https://docs.google.com/spreadsheets/d/1XWAQStnk-4SwqDmLtmXYiTMKHgktTP8We1SCoS47DrQ/edit?usp=sharing"",""จัดที่ดิน!AY66"")"),0)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IFERROR(__xludf.DUMMYFUNCTION("IMPORTRANGE(""https://docs.google.com/spreadsheets/d/1XWAQStnk-4SwqDmLtmXYiTMKHgktTP8We1SCoS47DrQ/edit?usp=sharing"",""จัดที่ดิน!AZ66"")"),0)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IFERROR(__xludf.DUMMYFUNCTION("IMPORTRANGE(""https://docs.google.com/spreadsheets/d/1QqKyyYR6Q21VydFLVH3TRQUabQu_ym0Zz7PgGX0-kHA/edit?usp=sharing"",""แผน!IC66"")"),0)</f>
        <v>0</v>
      </c>
      <c r="J699" s="270">
        <f ca="1">IFERROR(__xludf.DUMMYFUNCTION("IMPORTRANGE(""https://docs.google.com/spreadsheets/d/1XWAQStnk-4SwqDmLtmXYiTMKHgktTP8We1SCoS47DrQ/edit?usp=sharing"",""จัดที่ดิน!BB66"")"),0)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IFERROR(__xludf.DUMMYFUNCTION("IMPORTRANGE(""https://docs.google.com/spreadsheets/d/1QqKyyYR6Q21VydFLVH3TRQUabQu_ym0Zz7PgGX0-kHA/edit?usp=sharing"",""แผน!ID66"")"),0)</f>
        <v>0</v>
      </c>
      <c r="J700" s="270">
        <f ca="1">IFERROR(__xludf.DUMMYFUNCTION("IMPORTRANGE(""https://docs.google.com/spreadsheets/d/1XWAQStnk-4SwqDmLtmXYiTMKHgktTP8We1SCoS47DrQ/edit?usp=sharing"",""จัดที่ดิน!BD66"")"),0)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IFERROR(__xludf.DUMMYFUNCTION("IMPORTRANGE(""https://docs.google.com/spreadsheets/d/1QqKyyYR6Q21VydFLVH3TRQUabQu_ym0Zz7PgGX0-kHA/edit?usp=sharing"",""แผน!II66"")"),0)</f>
        <v>0</v>
      </c>
      <c r="J720" s="270">
        <f ca="1">IFERROR(__xludf.DUMMYFUNCTION("IMPORTRANGE(""https://docs.google.com/spreadsheets/d/1XWAQStnk-4SwqDmLtmXYiTMKHgktTP8We1SCoS47DrQ/edit?usp=sharing"",""จัดที่ดิน!BH66"")"),0)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IFERROR(__xludf.DUMMYFUNCTION("IMPORTRANGE(""https://docs.google.com/spreadsheets/d/1QqKyyYR6Q21VydFLVH3TRQUabQu_ym0Zz7PgGX0-kHA/edit?usp=sharing"",""แผน!IL66"")"),0)</f>
        <v>0</v>
      </c>
      <c r="J723" s="270">
        <f ca="1">IFERROR(__xludf.DUMMYFUNCTION("IMPORTRANGE(""https://docs.google.com/spreadsheets/d/1XWAQStnk-4SwqDmLtmXYiTMKHgktTP8We1SCoS47DrQ/edit?usp=sharing"",""จัดที่ดิน!BM66"")"),0)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IFERROR(__xludf.DUMMYFUNCTION("IMPORTRANGE(""https://docs.google.com/spreadsheets/d/1QqKyyYR6Q21VydFLVH3TRQUabQu_ym0Zz7PgGX0-kHA/edit?usp=sharing"",""แผน!IM66"")"),0)</f>
        <v>0</v>
      </c>
      <c r="J725" s="270">
        <f ca="1">IFERROR(__xludf.DUMMYFUNCTION("IMPORTRANGE(""https://docs.google.com/spreadsheets/d/1XWAQStnk-4SwqDmLtmXYiTMKHgktTP8We1SCoS47DrQ/edit?usp=sharing"",""จัดที่ดิน!BO66"")"),0)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IFERROR(__xludf.DUMMYFUNCTION("IMPORTRANGE(""https://docs.google.com/spreadsheets/d/1QqKyyYR6Q21VydFLVH3TRQUabQu_ym0Zz7PgGX0-kHA/edit?usp=sharing"",""แผน!IN66"")"),0)</f>
        <v>0</v>
      </c>
      <c r="J726" s="270">
        <f ca="1">IFERROR(__xludf.DUMMYFUNCTION("IMPORTRANGE(""https://docs.google.com/spreadsheets/d/1XWAQStnk-4SwqDmLtmXYiTMKHgktTP8We1SCoS47DrQ/edit?usp=sharing"",""จัดที่ดิน!BR66"")"),0)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IFERROR(__xludf.DUMMYFUNCTION("IMPORTRANGE(""https://docs.google.com/spreadsheets/d/1QqKyyYR6Q21VydFLVH3TRQUabQu_ym0Zz7PgGX0-kHA/edit?usp=sharing"",""แผน!IO66"")"),0)</f>
        <v>0</v>
      </c>
      <c r="J728" s="270">
        <f ca="1">IFERROR(__xludf.DUMMYFUNCTION("IMPORTRANGE(""https://docs.google.com/spreadsheets/d/1XWAQStnk-4SwqDmLtmXYiTMKHgktTP8We1SCoS47DrQ/edit?usp=sharing"",""จัดที่ดิน!BT66"")"),0)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IFERROR(__xludf.DUMMYFUNCTION("IMPORTRANGE(""https://docs.google.com/spreadsheets/d/1QqKyyYR6Q21VydFLVH3TRQUabQu_ym0Zz7PgGX0-kHA/edit?usp=sharing"",""แผน!JN66"")"),0)</f>
        <v>0</v>
      </c>
      <c r="J800" s="184">
        <f ca="1">IFERROR(__xludf.DUMMYFUNCTION("IMPORTRANGE(""https://docs.google.com/spreadsheets/d/1MaWodYyGHDf7siQLGxnXhG4mBNTNIuy296niS2xXulU/edit?usp=sharing"",""RTK!H66"")"),0)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IFERROR(__xludf.DUMMYFUNCTION("IMPORTRANGE(""https://docs.google.com/spreadsheets/d/19vJNZY_5yjcGF2XGBMNZRCAIB0Kwfpjp8YEOfu-bneM/edit?usp=sharing"",""งานกองทุน!D66"")"),2631297.69)</f>
        <v>2631297.69</v>
      </c>
      <c r="J821" s="270">
        <f ca="1">IFERROR(__xludf.DUMMYFUNCTION("IMPORTRANGE(""https://docs.google.com/spreadsheets/d/19vJNZY_5yjcGF2XGBMNZRCAIB0Kwfpjp8YEOfu-bneM/edit?usp=sharing"",""งานกองทุน!F66"")"),1571652.77)</f>
        <v>1571652.77</v>
      </c>
      <c r="K821" s="497">
        <f t="shared" ref="K821:K828" ca="1" si="335">IF(I821&gt;0,J821*100/I821,0)</f>
        <v>59.729188984314426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IFERROR(__xludf.DUMMYFUNCTION("IMPORTRANGE(""https://docs.google.com/spreadsheets/d/19vJNZY_5yjcGF2XGBMNZRCAIB0Kwfpjp8YEOfu-bneM/edit?usp=sharing"",""งานกองทุน!C66"")"),159)</f>
        <v>159</v>
      </c>
      <c r="J822" s="270">
        <f ca="1">IFERROR(__xludf.DUMMYFUNCTION("IMPORTRANGE(""https://docs.google.com/spreadsheets/d/19vJNZY_5yjcGF2XGBMNZRCAIB0Kwfpjp8YEOfu-bneM/edit?usp=sharing"",""งานกองทุน!E66"")"),91)</f>
        <v>91</v>
      </c>
      <c r="K822" s="497">
        <f t="shared" ca="1" si="335"/>
        <v>57.232704402515722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70">
        <f ca="1">IFERROR(__xludf.DUMMYFUNCTION("IMPORTRANGE(""https://docs.google.com/spreadsheets/d/19vJNZY_5yjcGF2XGBMNZRCAIB0Kwfpjp8YEOfu-bneM/edit?usp=sharing"",""งานกองทุน!K66"")"),179235.61)</f>
        <v>179235.61</v>
      </c>
      <c r="K823" s="497">
        <f t="shared" ca="1" si="335"/>
        <v>15.216717160084881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IFERROR(__xludf.DUMMYFUNCTION("IMPORTRANGE(""https://docs.google.com/spreadsheets/d/19vJNZY_5yjcGF2XGBMNZRCAIB0Kwfpjp8YEOfu-bneM/edit?usp=sharing"",""งานกองทุน!H66"")"),37)</f>
        <v>37</v>
      </c>
      <c r="J824" s="270">
        <f ca="1">IFERROR(__xludf.DUMMYFUNCTION("IMPORTRANGE(""https://docs.google.com/spreadsheets/d/19vJNZY_5yjcGF2XGBMNZRCAIB0Kwfpjp8YEOfu-bneM/edit?usp=sharing"",""งานกองทุน!J66"")"),14)</f>
        <v>14</v>
      </c>
      <c r="K824" s="497">
        <f t="shared" ca="1" si="335"/>
        <v>37.837837837837839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IFERROR(__xludf.DUMMYFUNCTION("IMPORTRANGE(""https://docs.google.com/spreadsheets/d/19vJNZY_5yjcGF2XGBMNZRCAIB0Kwfpjp8YEOfu-bneM/edit?usp=sharing"",""งานกองทุน!N66"")"),0)</f>
        <v>0</v>
      </c>
      <c r="J825" s="270">
        <f ca="1">IFERROR(__xludf.DUMMYFUNCTION("IMPORTRANGE(""https://docs.google.com/spreadsheets/d/19vJNZY_5yjcGF2XGBMNZRCAIB0Kwfpjp8YEOfu-bneM/edit?usp=sharing"",""งานกองทุน!P66"")"),0)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IFERROR(__xludf.DUMMYFUNCTION("IMPORTRANGE(""https://docs.google.com/spreadsheets/d/19vJNZY_5yjcGF2XGBMNZRCAIB0Kwfpjp8YEOfu-bneM/edit?usp=sharing"",""งานกองทุน!M66"")"),0)</f>
        <v>0</v>
      </c>
      <c r="J826" s="270">
        <f ca="1">IFERROR(__xludf.DUMMYFUNCTION("IMPORTRANGE(""https://docs.google.com/spreadsheets/d/19vJNZY_5yjcGF2XGBMNZRCAIB0Kwfpjp8YEOfu-bneM/edit?usp=sharing"",""งานกองทุน!O66"")"),0)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IFERROR(__xludf.DUMMYFUNCTION("IMPORTRANGE(""https://docs.google.com/spreadsheets/d/19vJNZY_5yjcGF2XGBMNZRCAIB0Kwfpjp8YEOfu-bneM/edit?usp=sharing"",""งานกองทุน!S66"")"),2500000)</f>
        <v>2500000</v>
      </c>
      <c r="J827" s="270">
        <f ca="1">IFERROR(__xludf.DUMMYFUNCTION("IMPORTRANGE(""https://docs.google.com/spreadsheets/d/19vJNZY_5yjcGF2XGBMNZRCAIB0Kwfpjp8YEOfu-bneM/edit?usp=sharing"",""งานกองทุน!U66"")"),2020000)</f>
        <v>2020000</v>
      </c>
      <c r="K827" s="497">
        <f t="shared" ca="1" si="335"/>
        <v>80.8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IFERROR(__xludf.DUMMYFUNCTION("IMPORTRANGE(""https://docs.google.com/spreadsheets/d/19vJNZY_5yjcGF2XGBMNZRCAIB0Kwfpjp8YEOfu-bneM/edit?usp=sharing"",""งานกองทุน!R66"")"),72)</f>
        <v>72</v>
      </c>
      <c r="J828" s="501">
        <f ca="1">IFERROR(__xludf.DUMMYFUNCTION("IMPORTRANGE(""https://docs.google.com/spreadsheets/d/19vJNZY_5yjcGF2XGBMNZRCAIB0Kwfpjp8YEOfu-bneM/edit?usp=sharing"",""งานกองทุน!T66"")"),43)</f>
        <v>43</v>
      </c>
      <c r="K828" s="502">
        <f t="shared" ca="1" si="335"/>
        <v>59.722222222222221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24C6-2FE1-411D-A5A6-769480A25C78}">
  <sheetPr codeName="Sheet16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354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4168528</v>
      </c>
      <c r="M8" s="22">
        <f t="shared" ca="1" si="0"/>
        <v>4295442.08</v>
      </c>
      <c r="N8" s="22">
        <f t="shared" ca="1" si="0"/>
        <v>3266071.16</v>
      </c>
      <c r="O8" s="22">
        <f t="shared" ref="O8:O16" ca="1" si="1">IF(L8&gt;0,N8*100/L8,0)</f>
        <v>78.350707012163525</v>
      </c>
      <c r="P8" s="22">
        <f t="shared" ref="P8:P16" ca="1" si="2">IF(M8&gt;0,N8*100/M8,0)</f>
        <v>76.035739725304367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4168528</v>
      </c>
      <c r="M10" s="30">
        <f t="shared" ca="1" si="3"/>
        <v>4295442.08</v>
      </c>
      <c r="N10" s="30">
        <f t="shared" ca="1" si="3"/>
        <v>3266071.16</v>
      </c>
      <c r="O10" s="30">
        <f t="shared" ca="1" si="1"/>
        <v>78.350707012163525</v>
      </c>
      <c r="P10" s="30">
        <f t="shared" ca="1" si="2"/>
        <v>76.035739725304367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4099528</v>
      </c>
      <c r="M11" s="497">
        <f t="shared" ca="1" si="4"/>
        <v>4226442.08</v>
      </c>
      <c r="N11" s="497">
        <f t="shared" ca="1" si="4"/>
        <v>3197071.16</v>
      </c>
      <c r="O11" s="497">
        <f t="shared" ca="1" si="1"/>
        <v>77.986323303560795</v>
      </c>
      <c r="P11" s="497">
        <f t="shared" ca="1" si="2"/>
        <v>75.644504277697322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4099528</v>
      </c>
      <c r="M13" s="93">
        <f t="shared" ca="1" si="5"/>
        <v>4226442.08</v>
      </c>
      <c r="N13" s="93">
        <f t="shared" ca="1" si="5"/>
        <v>3197071.16</v>
      </c>
      <c r="O13" s="93">
        <f t="shared" ca="1" si="1"/>
        <v>77.986323303560795</v>
      </c>
      <c r="P13" s="93">
        <f t="shared" ca="1" si="2"/>
        <v>75.644504277697322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69000</v>
      </c>
      <c r="M14" s="497">
        <f t="shared" ca="1" si="6"/>
        <v>69000</v>
      </c>
      <c r="N14" s="497">
        <f t="shared" ca="1" si="6"/>
        <v>69000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69000</v>
      </c>
      <c r="M16" s="52">
        <f t="shared" ca="1" si="7"/>
        <v>69000</v>
      </c>
      <c r="N16" s="52">
        <f t="shared" ca="1" si="7"/>
        <v>69000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2704370</v>
      </c>
      <c r="M18" s="22">
        <f t="shared" ca="1" si="8"/>
        <v>2833144.08</v>
      </c>
      <c r="N18" s="22">
        <f t="shared" ca="1" si="8"/>
        <v>2258805.41</v>
      </c>
      <c r="O18" s="22">
        <f t="shared" ref="O18:O26" ca="1" si="9">IF(L18&gt;0,N18*100/L18,0)</f>
        <v>83.524274045341429</v>
      </c>
      <c r="P18" s="22">
        <f t="shared" ref="P18:P26" ca="1" si="10">IF(M18&gt;0,N18*100/M18,0)</f>
        <v>79.727869328834132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2704370</v>
      </c>
      <c r="M20" s="30">
        <f t="shared" ca="1" si="11"/>
        <v>2833144.08</v>
      </c>
      <c r="N20" s="30">
        <f t="shared" ca="1" si="11"/>
        <v>2258805.41</v>
      </c>
      <c r="O20" s="30">
        <f t="shared" ca="1" si="9"/>
        <v>83.524274045341429</v>
      </c>
      <c r="P20" s="30">
        <f t="shared" ca="1" si="10"/>
        <v>79.727869328834132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2635370</v>
      </c>
      <c r="M21" s="497">
        <f t="shared" ca="1" si="12"/>
        <v>2764144.08</v>
      </c>
      <c r="N21" s="497">
        <f t="shared" ca="1" si="12"/>
        <v>2189805.41</v>
      </c>
      <c r="O21" s="497">
        <f t="shared" ca="1" si="9"/>
        <v>83.092901945457371</v>
      </c>
      <c r="P21" s="497">
        <f t="shared" ca="1" si="10"/>
        <v>79.22182587529953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2635370</v>
      </c>
      <c r="M23" s="93">
        <f t="shared" ca="1" si="13"/>
        <v>2764144.08</v>
      </c>
      <c r="N23" s="93">
        <f t="shared" ca="1" si="13"/>
        <v>2189805.41</v>
      </c>
      <c r="O23" s="93">
        <f t="shared" ca="1" si="9"/>
        <v>83.092901945457371</v>
      </c>
      <c r="P23" s="93">
        <f t="shared" ca="1" si="10"/>
        <v>79.22182587529953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69000</v>
      </c>
      <c r="M24" s="497">
        <f t="shared" ca="1" si="14"/>
        <v>69000</v>
      </c>
      <c r="N24" s="497">
        <f t="shared" ca="1" si="14"/>
        <v>69000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69000</v>
      </c>
      <c r="M26" s="52">
        <f t="shared" ca="1" si="15"/>
        <v>69000</v>
      </c>
      <c r="N26" s="52">
        <f t="shared" ca="1" si="15"/>
        <v>69000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1464158</v>
      </c>
      <c r="M28" s="22">
        <f t="shared" ca="1" si="16"/>
        <v>1462298</v>
      </c>
      <c r="N28" s="22">
        <f t="shared" si="16"/>
        <v>1007265.75</v>
      </c>
      <c r="O28" s="22">
        <f t="shared" ref="O28:O37" ca="1" si="17">IF(L28&gt;0,N28*100/L28,0)</f>
        <v>68.794880743744869</v>
      </c>
      <c r="P28" s="22">
        <f t="shared" ref="P28:P37" ca="1" si="18">IF(M28&gt;0,N28*100/M28,0)</f>
        <v>68.882385806449847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1464158</v>
      </c>
      <c r="M30" s="30">
        <f t="shared" ca="1" si="19"/>
        <v>1462298</v>
      </c>
      <c r="N30" s="30">
        <f t="shared" si="19"/>
        <v>1007265.75</v>
      </c>
      <c r="O30" s="30">
        <f t="shared" ca="1" si="17"/>
        <v>68.794880743744869</v>
      </c>
      <c r="P30" s="30">
        <f t="shared" ca="1" si="18"/>
        <v>68.882385806449847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1464158</v>
      </c>
      <c r="M31" s="497">
        <f t="shared" ca="1" si="20"/>
        <v>1462298</v>
      </c>
      <c r="N31" s="497">
        <f t="shared" si="20"/>
        <v>1007265.75</v>
      </c>
      <c r="O31" s="497">
        <f t="shared" ca="1" si="17"/>
        <v>68.794880743744869</v>
      </c>
      <c r="P31" s="497">
        <f t="shared" ca="1" si="18"/>
        <v>68.882385806449847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1464158</v>
      </c>
      <c r="M33" s="93">
        <f t="shared" ca="1" si="21"/>
        <v>1462298</v>
      </c>
      <c r="N33" s="93">
        <f t="shared" si="21"/>
        <v>1007265.75</v>
      </c>
      <c r="O33" s="93">
        <f t="shared" ca="1" si="17"/>
        <v>68.794880743744869</v>
      </c>
      <c r="P33" s="93">
        <f t="shared" ca="1" si="18"/>
        <v>68.882385806449847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2704370</v>
      </c>
      <c r="M37" s="59">
        <f t="shared" ca="1" si="24"/>
        <v>2833144.08</v>
      </c>
      <c r="N37" s="59">
        <f t="shared" ca="1" si="24"/>
        <v>2258805.41</v>
      </c>
      <c r="O37" s="59">
        <f t="shared" ca="1" si="17"/>
        <v>83.524274045341429</v>
      </c>
      <c r="P37" s="59">
        <f t="shared" ca="1" si="18"/>
        <v>79.727869328834132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349000</v>
      </c>
      <c r="M41" s="85">
        <f t="shared" ca="1" si="25"/>
        <v>363464.08</v>
      </c>
      <c r="N41" s="85">
        <f t="shared" ca="1" si="25"/>
        <v>358206</v>
      </c>
      <c r="O41" s="85">
        <f t="shared" ref="O41:O49" ca="1" si="26">IF(L41&gt;0,N41*100/L41,0)</f>
        <v>102.6378223495702</v>
      </c>
      <c r="P41" s="85">
        <f t="shared" ref="P41:P49" ca="1" si="27">IF(M41&gt;0,N41*100/M41,0)</f>
        <v>98.553342602658276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349000</v>
      </c>
      <c r="M43" s="92">
        <f t="shared" ca="1" si="28"/>
        <v>363464.08</v>
      </c>
      <c r="N43" s="92">
        <f t="shared" ca="1" si="28"/>
        <v>358206</v>
      </c>
      <c r="O43" s="92">
        <f t="shared" ca="1" si="26"/>
        <v>102.6378223495702</v>
      </c>
      <c r="P43" s="92">
        <f t="shared" ca="1" si="27"/>
        <v>98.553342602658276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349000</v>
      </c>
      <c r="M44" s="497">
        <f t="shared" ca="1" si="29"/>
        <v>363464.08</v>
      </c>
      <c r="N44" s="497">
        <f t="shared" ca="1" si="29"/>
        <v>358206</v>
      </c>
      <c r="O44" s="497">
        <f t="shared" ca="1" si="26"/>
        <v>102.6378223495702</v>
      </c>
      <c r="P44" s="497">
        <f t="shared" ca="1" si="27"/>
        <v>98.553342602658276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IFERROR(__xludf.DUMMYFUNCTION("IMPORTRANGE(""https://docs.google.com/spreadsheets/d/1MeEWN-I1oV_STSDYn1IFDPWt_1FKiwhDph83XaGc0o0/edit?usp=sharing"",""งบพรบ!M67"")"),349000)</f>
        <v>349000</v>
      </c>
      <c r="M46" s="93">
        <f ca="1">IFERROR(__xludf.DUMMYFUNCTION("IMPORTRANGE(""https://docs.google.com/spreadsheets/d/1MeEWN-I1oV_STSDYn1IFDPWt_1FKiwhDph83XaGc0o0/edit?usp=sharing"",""งบพรบ!R67"")"),363464.08)</f>
        <v>363464.08</v>
      </c>
      <c r="N46" s="93">
        <f ca="1">IFERROR(__xludf.DUMMYFUNCTION("IMPORTRANGE(""https://docs.google.com/spreadsheets/d/1MeEWN-I1oV_STSDYn1IFDPWt_1FKiwhDph83XaGc0o0/edit?usp=sharing"",""งบพรบ!T67"")"),358206)</f>
        <v>358206</v>
      </c>
      <c r="O46" s="93">
        <f t="shared" ca="1" si="26"/>
        <v>102.6378223495702</v>
      </c>
      <c r="P46" s="93">
        <f t="shared" ca="1" si="27"/>
        <v>98.553342602658276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IFERROR(__xludf.DUMMYFUNCTION("IMPORTRANGE(""https://docs.google.com/spreadsheets/d/1MeEWN-I1oV_STSDYn1IFDPWt_1FKiwhDph83XaGc0o0/edit?usp=sharing"",""งบพรบ!P67"")"),0)</f>
        <v>0</v>
      </c>
      <c r="M49" s="52">
        <f ca="1">IFERROR(__xludf.DUMMYFUNCTION("IMPORTRANGE(""https://docs.google.com/spreadsheets/d/1MeEWN-I1oV_STSDYn1IFDPWt_1FKiwhDph83XaGc0o0/edit?usp=sharing"",""งบพรบ!S67"")"),0)</f>
        <v>0</v>
      </c>
      <c r="N49" s="52">
        <f ca="1">IFERROR(__xludf.DUMMYFUNCTION("IMPORTRANGE(""https://docs.google.com/spreadsheets/d/1MeEWN-I1oV_STSDYn1IFDPWt_1FKiwhDph83XaGc0o0/edit?usp=sharing"",""งบพรบ!U67"")"),0)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661300</v>
      </c>
      <c r="M53" s="116">
        <f t="shared" ca="1" si="31"/>
        <v>729420</v>
      </c>
      <c r="N53" s="116">
        <f t="shared" ca="1" si="31"/>
        <v>609728.14</v>
      </c>
      <c r="O53" s="116">
        <f t="shared" ref="O53:O61" ca="1" si="32">IF(L53&gt;0,N53*100/L53,0)</f>
        <v>92.201442613034928</v>
      </c>
      <c r="P53" s="116">
        <f t="shared" ref="P53:P61" ca="1" si="33">IF(M53&gt;0,N53*100/M53,0)</f>
        <v>83.590817361739468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661300</v>
      </c>
      <c r="M55" s="123">
        <f t="shared" ca="1" si="34"/>
        <v>729420</v>
      </c>
      <c r="N55" s="123">
        <f t="shared" ca="1" si="34"/>
        <v>609728.14</v>
      </c>
      <c r="O55" s="123">
        <f t="shared" ca="1" si="32"/>
        <v>92.201442613034928</v>
      </c>
      <c r="P55" s="123">
        <f t="shared" ca="1" si="33"/>
        <v>83.590817361739468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607300</v>
      </c>
      <c r="M56" s="497">
        <f t="shared" ca="1" si="35"/>
        <v>675420</v>
      </c>
      <c r="N56" s="497">
        <f t="shared" ca="1" si="35"/>
        <v>555728.14</v>
      </c>
      <c r="O56" s="497">
        <f t="shared" ca="1" si="32"/>
        <v>91.508009221142757</v>
      </c>
      <c r="P56" s="497">
        <f t="shared" ca="1" si="33"/>
        <v>82.278899055402562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IFERROR(__xludf.DUMMYFUNCTION("IMPORTRANGE(""https://docs.google.com/spreadsheets/d/1MeEWN-I1oV_STSDYn1IFDPWt_1FKiwhDph83XaGc0o0/edit?usp=sharing"",""งบพรบ!W67"")"),607300)</f>
        <v>607300</v>
      </c>
      <c r="M58" s="93">
        <f ca="1">IFERROR(__xludf.DUMMYFUNCTION("IMPORTRANGE(""https://docs.google.com/spreadsheets/d/1MeEWN-I1oV_STSDYn1IFDPWt_1FKiwhDph83XaGc0o0/edit?usp=sharing"",""งบพรบ!AB67"")"),675420)</f>
        <v>675420</v>
      </c>
      <c r="N58" s="93">
        <f ca="1">IFERROR(__xludf.DUMMYFUNCTION("IMPORTRANGE(""https://docs.google.com/spreadsheets/d/1MeEWN-I1oV_STSDYn1IFDPWt_1FKiwhDph83XaGc0o0/edit?usp=sharing"",""งบพรบ!AD67"")"),555728.14)</f>
        <v>555728.14</v>
      </c>
      <c r="O58" s="93">
        <f t="shared" ca="1" si="32"/>
        <v>91.508009221142757</v>
      </c>
      <c r="P58" s="93">
        <f t="shared" ca="1" si="33"/>
        <v>82.278899055402562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54000</v>
      </c>
      <c r="M59" s="497">
        <f t="shared" ca="1" si="36"/>
        <v>54000</v>
      </c>
      <c r="N59" s="497">
        <f t="shared" ca="1" si="36"/>
        <v>54000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IFERROR(__xludf.DUMMYFUNCTION("IMPORTRANGE(""https://docs.google.com/spreadsheets/d/1MeEWN-I1oV_STSDYn1IFDPWt_1FKiwhDph83XaGc0o0/edit?usp=sharing"",""งบพรบ!Z67"")"),54000)</f>
        <v>54000</v>
      </c>
      <c r="M61" s="52">
        <f ca="1">IFERROR(__xludf.DUMMYFUNCTION("IMPORTRANGE(""https://docs.google.com/spreadsheets/d/1MeEWN-I1oV_STSDYn1IFDPWt_1FKiwhDph83XaGc0o0/edit?usp=sharing"",""งบพรบ!AC67"")"),54000)</f>
        <v>54000</v>
      </c>
      <c r="N61" s="52">
        <f ca="1">IFERROR(__xludf.DUMMYFUNCTION("IMPORTRANGE(""https://docs.google.com/spreadsheets/d/1MeEWN-I1oV_STSDYn1IFDPWt_1FKiwhDph83XaGc0o0/edit?usp=sharing"",""งบพรบ!AE67"")"),54000)</f>
        <v>54000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IFERROR(__xludf.DUMMYFUNCTION("IMPORTRANGE(""https://docs.google.com/spreadsheets/d/1MeEWN-I1oV_STSDYn1IFDPWt_1FKiwhDph83XaGc0o0/edit?usp=sharing"",""งบพรบ!AG67"")"),0)</f>
        <v>0</v>
      </c>
      <c r="M71" s="93">
        <f ca="1">IFERROR(__xludf.DUMMYFUNCTION("IMPORTRANGE(""https://docs.google.com/spreadsheets/d/1MeEWN-I1oV_STSDYn1IFDPWt_1FKiwhDph83XaGc0o0/edit?usp=sharing"",""งบพรบ!AL67"")"),0)</f>
        <v>0</v>
      </c>
      <c r="N71" s="93">
        <f ca="1">IFERROR(__xludf.DUMMYFUNCTION("IMPORTRANGE(""https://docs.google.com/spreadsheets/d/1MeEWN-I1oV_STSDYn1IFDPWt_1FKiwhDph83XaGc0o0/edit?usp=sharing"",""งบพรบ!AN67"")"),0)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IFERROR(__xludf.DUMMYFUNCTION("IMPORTRANGE(""https://docs.google.com/spreadsheets/d/1MeEWN-I1oV_STSDYn1IFDPWt_1FKiwhDph83XaGc0o0/edit?usp=sharing"",""งบพรบ!AJ67"")"),0)</f>
        <v>0</v>
      </c>
      <c r="M74" s="93">
        <f ca="1">IFERROR(__xludf.DUMMYFUNCTION("IMPORTRANGE(""https://docs.google.com/spreadsheets/d/1MeEWN-I1oV_STSDYn1IFDPWt_1FKiwhDph83XaGc0o0/edit?usp=sharing"",""งบพรบ!AM67"")"),0)</f>
        <v>0</v>
      </c>
      <c r="N74" s="93">
        <f ca="1">IFERROR(__xludf.DUMMYFUNCTION("IMPORTRANGE(""https://docs.google.com/spreadsheets/d/1MeEWN-I1oV_STSDYn1IFDPWt_1FKiwhDph83XaGc0o0/edit?usp=sharing"",""งบพรบ!AO67"")"),0)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128360</v>
      </c>
      <c r="M88" s="155">
        <f t="shared" ca="1" si="49"/>
        <v>128360</v>
      </c>
      <c r="N88" s="155">
        <f t="shared" ca="1" si="49"/>
        <v>102225.9</v>
      </c>
      <c r="O88" s="155">
        <f t="shared" ref="O88:O96" ca="1" si="50">IF(L88&gt;0,N88*100/L88,0)</f>
        <v>79.639996883764411</v>
      </c>
      <c r="P88" s="155">
        <f t="shared" ref="P88:P96" ca="1" si="51">IF(M88&gt;0,N88*100/M88,0)</f>
        <v>79.639996883764411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128360</v>
      </c>
      <c r="M90" s="93">
        <f t="shared" ca="1" si="52"/>
        <v>128360</v>
      </c>
      <c r="N90" s="93">
        <f t="shared" ca="1" si="52"/>
        <v>102225.9</v>
      </c>
      <c r="O90" s="93">
        <f t="shared" ca="1" si="50"/>
        <v>79.639996883764411</v>
      </c>
      <c r="P90" s="93">
        <f t="shared" ca="1" si="51"/>
        <v>79.639996883764411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128360</v>
      </c>
      <c r="M91" s="497">
        <f t="shared" ca="1" si="53"/>
        <v>128360</v>
      </c>
      <c r="N91" s="497">
        <f t="shared" ca="1" si="53"/>
        <v>102225.9</v>
      </c>
      <c r="O91" s="497">
        <f t="shared" ca="1" si="50"/>
        <v>79.639996883764411</v>
      </c>
      <c r="P91" s="497">
        <f t="shared" ca="1" si="51"/>
        <v>79.639996883764411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IFERROR(__xludf.DUMMYFUNCTION("IMPORTRANGE(""https://docs.google.com/spreadsheets/d/1MeEWN-I1oV_STSDYn1IFDPWt_1FKiwhDph83XaGc0o0/edit?usp=sharing"",""งบพรบ!AQ67"")"),128360)</f>
        <v>128360</v>
      </c>
      <c r="M93" s="93">
        <f ca="1">IFERROR(__xludf.DUMMYFUNCTION("IMPORTRANGE(""https://docs.google.com/spreadsheets/d/1MeEWN-I1oV_STSDYn1IFDPWt_1FKiwhDph83XaGc0o0/edit?usp=sharing"",""งบพรบ!AV67"")"),128360)</f>
        <v>128360</v>
      </c>
      <c r="N93" s="93">
        <f ca="1">IFERROR(__xludf.DUMMYFUNCTION("IMPORTRANGE(""https://docs.google.com/spreadsheets/d/1MeEWN-I1oV_STSDYn1IFDPWt_1FKiwhDph83XaGc0o0/edit?usp=sharing"",""งบพรบ!AX67"")"),102225.9)</f>
        <v>102225.9</v>
      </c>
      <c r="O93" s="93">
        <f t="shared" ca="1" si="50"/>
        <v>79.639996883764411</v>
      </c>
      <c r="P93" s="93">
        <f t="shared" ca="1" si="51"/>
        <v>79.639996883764411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IFERROR(__xludf.DUMMYFUNCTION("IMPORTRANGE(""https://docs.google.com/spreadsheets/d/1MeEWN-I1oV_STSDYn1IFDPWt_1FKiwhDph83XaGc0o0/edit?usp=sharing"",""งบพรบ!AT67"")"),0)</f>
        <v>0</v>
      </c>
      <c r="M96" s="93">
        <f ca="1">IFERROR(__xludf.DUMMYFUNCTION("IMPORTRANGE(""https://docs.google.com/spreadsheets/d/1MeEWN-I1oV_STSDYn1IFDPWt_1FKiwhDph83XaGc0o0/edit?usp=sharing"",""งบพรบ!AW67"")"),0)</f>
        <v>0</v>
      </c>
      <c r="N96" s="93">
        <f ca="1">IFERROR(__xludf.DUMMYFUNCTION("IMPORTRANGE(""https://docs.google.com/spreadsheets/d/1MeEWN-I1oV_STSDYn1IFDPWt_1FKiwhDph83XaGc0o0/edit?usp=sharing"",""งบพรบ!AY67"")"),0)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IFERROR(__xludf.DUMMYFUNCTION("IMPORTRANGE(""https://docs.google.com/spreadsheets/d/1QqKyyYR6Q21VydFLVH3TRQUabQu_ym0Zz7PgGX0-kHA/edit?usp=sharing"",""แผน!K67"")"),45)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IFERROR(__xludf.DUMMYFUNCTION("IMPORTRANGE(""https://docs.google.com/spreadsheets/d/1QqKyyYR6Q21VydFLVH3TRQUabQu_ym0Zz7PgGX0-kHA/edit?usp=sharing"",""แผน!L67"")"),15)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IFERROR(__xludf.DUMMYFUNCTION("IMPORTRANGE(""https://docs.google.com/spreadsheets/d/1QqKyyYR6Q21VydFLVH3TRQUabQu_ym0Zz7PgGX0-kHA/edit?usp=sharing"",""แผน!N67"")"),45)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IFERROR(__xludf.DUMMYFUNCTION("IMPORTRANGE(""https://docs.google.com/spreadsheets/d/1QqKyyYR6Q21VydFLVH3TRQUabQu_ym0Zz7PgGX0-kHA/edit?usp=sharing"",""แผน!O67"")"),15)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IFERROR(__xludf.DUMMYFUNCTION("IMPORTRANGE(""https://docs.google.com/spreadsheets/d/1QqKyyYR6Q21VydFLVH3TRQUabQu_ym0Zz7PgGX0-kHA/edit?usp=sharing"",""แผน!O67"")"),15)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IFERROR(__xludf.DUMMYFUNCTION("IMPORTRANGE(""https://docs.google.com/spreadsheets/d/1QqKyyYR6Q21VydFLVH3TRQUabQu_ym0Zz7PgGX0-kHA/edit?usp=sharing"",""แผน!R67"")"),15)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3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IFERROR(__xludf.DUMMYFUNCTION("IMPORTRANGE(""https://docs.google.com/spreadsheets/d/1QqKyyYR6Q21VydFLVH3TRQUabQu_ym0Zz7PgGX0-kHA/edit?usp=sharing"",""แผน!R67"")"),15)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IFERROR(__xludf.DUMMYFUNCTION("IMPORTRANGE(""https://docs.google.com/spreadsheets/d/1QqKyyYR6Q21VydFLVH3TRQUabQu_ym0Zz7PgGX0-kHA/edit?usp=sharing"",""แผน!R67"")"),15)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IFERROR(__xludf.DUMMYFUNCTION("IMPORTRANGE(""https://docs.google.com/spreadsheets/d/1QqKyyYR6Q21VydFLVH3TRQUabQu_ym0Zz7PgGX0-kHA/edit?usp=sharing"",""แผน!S67"")"),2)</f>
        <v>2</v>
      </c>
      <c r="J115" s="215">
        <v>2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IFERROR(__xludf.DUMMYFUNCTION("IMPORTRANGE(""https://docs.google.com/spreadsheets/d/1QqKyyYR6Q21VydFLVH3TRQUabQu_ym0Zz7PgGX0-kHA/edit?usp=sharing"",""แผน!T67"")"),1)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IFERROR(__xludf.DUMMYFUNCTION("IMPORTRANGE(""https://docs.google.com/spreadsheets/d/1MeEWN-I1oV_STSDYn1IFDPWt_1FKiwhDph83XaGc0o0/edit?usp=sharing"",""งบพรบ!BA67"")"),0)</f>
        <v>0</v>
      </c>
      <c r="M124" s="93">
        <f ca="1">IFERROR(__xludf.DUMMYFUNCTION("IMPORTRANGE(""https://docs.google.com/spreadsheets/d/1MeEWN-I1oV_STSDYn1IFDPWt_1FKiwhDph83XaGc0o0/edit?usp=sharing"",""งบพรบ!BF67"")"),0)</f>
        <v>0</v>
      </c>
      <c r="N124" s="93">
        <f ca="1">IFERROR(__xludf.DUMMYFUNCTION("IMPORTRANGE(""https://docs.google.com/spreadsheets/d/1MeEWN-I1oV_STSDYn1IFDPWt_1FKiwhDph83XaGc0o0/edit?usp=sharing"",""งบพรบ!BH67"")"),0)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IFERROR(__xludf.DUMMYFUNCTION("IMPORTRANGE(""https://docs.google.com/spreadsheets/d/1MeEWN-I1oV_STSDYn1IFDPWt_1FKiwhDph83XaGc0o0/edit?usp=sharing"",""งบพรบ!BD67"")"),0)</f>
        <v>0</v>
      </c>
      <c r="M127" s="93">
        <f ca="1">IFERROR(__xludf.DUMMYFUNCTION("IMPORTRANGE(""https://docs.google.com/spreadsheets/d/1MeEWN-I1oV_STSDYn1IFDPWt_1FKiwhDph83XaGc0o0/edit?usp=sharing"",""งบพรบ!BG67"")"),0)</f>
        <v>0</v>
      </c>
      <c r="N127" s="93">
        <f ca="1">IFERROR(__xludf.DUMMYFUNCTION("IMPORTRANGE(""https://docs.google.com/spreadsheets/d/1MeEWN-I1oV_STSDYn1IFDPWt_1FKiwhDph83XaGc0o0/edit?usp=sharing"",""งบพรบ!BI67"")"),0)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IFERROR(__xludf.DUMMYFUNCTION("IMPORTRANGE(""https://docs.google.com/spreadsheets/d/1MeEWN-I1oV_STSDYn1IFDPWt_1FKiwhDph83XaGc0o0/edit?usp=sharing"",""งบพรบ!BK67"")"),0)</f>
        <v>0</v>
      </c>
      <c r="M137" s="93">
        <f ca="1">IFERROR(__xludf.DUMMYFUNCTION("IMPORTRANGE(""https://docs.google.com/spreadsheets/d/1MeEWN-I1oV_STSDYn1IFDPWt_1FKiwhDph83XaGc0o0/edit?usp=sharing"",""งบพรบ!BP67"")"),0)</f>
        <v>0</v>
      </c>
      <c r="N137" s="93">
        <f ca="1">IFERROR(__xludf.DUMMYFUNCTION("IMPORTRANGE(""https://docs.google.com/spreadsheets/d/1MeEWN-I1oV_STSDYn1IFDPWt_1FKiwhDph83XaGc0o0/edit?usp=sharing"",""งบพรบ!BR67"")"),0)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IFERROR(__xludf.DUMMYFUNCTION("IMPORTRANGE(""https://docs.google.com/spreadsheets/d/1MeEWN-I1oV_STSDYn1IFDPWt_1FKiwhDph83XaGc0o0/edit?usp=sharing"",""งบพรบ!BN67"")"),0)</f>
        <v>0</v>
      </c>
      <c r="M140" s="93">
        <f ca="1">IFERROR(__xludf.DUMMYFUNCTION("IMPORTRANGE(""https://docs.google.com/spreadsheets/d/1MeEWN-I1oV_STSDYn1IFDPWt_1FKiwhDph83XaGc0o0/edit?usp=sharing"",""งบพรบ!BQ67"")"),0)</f>
        <v>0</v>
      </c>
      <c r="N140" s="93">
        <f ca="1">IFERROR(__xludf.DUMMYFUNCTION("IMPORTRANGE(""https://docs.google.com/spreadsheets/d/1MeEWN-I1oV_STSDYn1IFDPWt_1FKiwhDph83XaGc0o0/edit?usp=sharing"",""งบพรบ!BS67"")"),0)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4</v>
      </c>
      <c r="K148" s="145">
        <f ca="1">IF(I148&gt;0,J148*100/I148,0)</f>
        <v>26.666666666666668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IFERROR(__xludf.DUMMYFUNCTION("IMPORTRANGE(""https://docs.google.com/spreadsheets/d/1MeEWN-I1oV_STSDYn1IFDPWt_1FKiwhDph83XaGc0o0/edit?usp=sharing"",""งบพรบ!BU67"")"),7500)</f>
        <v>7500</v>
      </c>
      <c r="M154" s="93">
        <f ca="1">IFERROR(__xludf.DUMMYFUNCTION("IMPORTRANGE(""https://docs.google.com/spreadsheets/d/1MeEWN-I1oV_STSDYn1IFDPWt_1FKiwhDph83XaGc0o0/edit?usp=sharing"",""งบพรบ!BZ67"")"),7500)</f>
        <v>7500</v>
      </c>
      <c r="N154" s="93">
        <f ca="1">IFERROR(__xludf.DUMMYFUNCTION("IMPORTRANGE(""https://docs.google.com/spreadsheets/d/1MeEWN-I1oV_STSDYn1IFDPWt_1FKiwhDph83XaGc0o0/edit?usp=sharing"",""งบพรบ!CB67"")"),0)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IFERROR(__xludf.DUMMYFUNCTION("IMPORTRANGE(""https://docs.google.com/spreadsheets/d/1MeEWN-I1oV_STSDYn1IFDPWt_1FKiwhDph83XaGc0o0/edit?usp=sharing"",""งบพรบ!BX67"")"),0)</f>
        <v>0</v>
      </c>
      <c r="M157" s="93">
        <f ca="1">IFERROR(__xludf.DUMMYFUNCTION("IMPORTRANGE(""https://docs.google.com/spreadsheets/d/1MeEWN-I1oV_STSDYn1IFDPWt_1FKiwhDph83XaGc0o0/edit?usp=sharing"",""งบพรบ!CA67"")"),0)</f>
        <v>0</v>
      </c>
      <c r="N157" s="93">
        <f ca="1">IFERROR(__xludf.DUMMYFUNCTION("IMPORTRANGE(""https://docs.google.com/spreadsheets/d/1MeEWN-I1oV_STSDYn1IFDPWt_1FKiwhDph83XaGc0o0/edit?usp=sharing"",""งบพรบ!CC67"")"),0)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IFERROR(__xludf.DUMMYFUNCTION("IMPORTRANGE(""https://docs.google.com/spreadsheets/d/1QqKyyYR6Q21VydFLVH3TRQUabQu_ym0Zz7PgGX0-kHA/edit?usp=sharing"",""แผน!X67"")"),15)</f>
        <v>15</v>
      </c>
      <c r="J159" s="215">
        <v>4</v>
      </c>
      <c r="K159" s="497">
        <f ca="1">IF(I159&gt;0,J159*100/I159,0)</f>
        <v>26.666666666666668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31040</v>
      </c>
      <c r="N165" s="155">
        <f t="shared" ca="1" si="84"/>
        <v>31000</v>
      </c>
      <c r="O165" s="155">
        <f t="shared" ref="O165:O173" ca="1" si="85">IF(L165&gt;0,N165*100/L165,0)</f>
        <v>147.26840855106889</v>
      </c>
      <c r="P165" s="155">
        <f t="shared" ref="P165:P173" ca="1" si="86">IF(M165&gt;0,N165*100/M165,0)</f>
        <v>99.871134020618555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31040</v>
      </c>
      <c r="N167" s="93">
        <f t="shared" ca="1" si="87"/>
        <v>31000</v>
      </c>
      <c r="O167" s="93">
        <f t="shared" ca="1" si="85"/>
        <v>147.26840855106889</v>
      </c>
      <c r="P167" s="93">
        <f t="shared" ca="1" si="86"/>
        <v>99.871134020618555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31040</v>
      </c>
      <c r="N168" s="497">
        <f t="shared" ca="1" si="88"/>
        <v>31000</v>
      </c>
      <c r="O168" s="497">
        <f t="shared" ca="1" si="85"/>
        <v>147.26840855106889</v>
      </c>
      <c r="P168" s="497">
        <f t="shared" ca="1" si="86"/>
        <v>99.871134020618555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IFERROR(__xludf.DUMMYFUNCTION("IMPORTRANGE(""https://docs.google.com/spreadsheets/d/1MeEWN-I1oV_STSDYn1IFDPWt_1FKiwhDph83XaGc0o0/edit?usp=sharing"",""งบพรบ!CE67"")"),21050)</f>
        <v>21050</v>
      </c>
      <c r="M170" s="93">
        <f ca="1">IFERROR(__xludf.DUMMYFUNCTION("IMPORTRANGE(""https://docs.google.com/spreadsheets/d/1MeEWN-I1oV_STSDYn1IFDPWt_1FKiwhDph83XaGc0o0/edit?usp=sharing"",""งบพรบ!CJ67"")"),31040)</f>
        <v>31040</v>
      </c>
      <c r="N170" s="93">
        <f ca="1">IFERROR(__xludf.DUMMYFUNCTION("IMPORTRANGE(""https://docs.google.com/spreadsheets/d/1MeEWN-I1oV_STSDYn1IFDPWt_1FKiwhDph83XaGc0o0/edit?usp=sharing"",""งบพรบ!CL67"")"),31000)</f>
        <v>31000</v>
      </c>
      <c r="O170" s="93">
        <f t="shared" ca="1" si="85"/>
        <v>147.26840855106889</v>
      </c>
      <c r="P170" s="93">
        <f t="shared" ca="1" si="86"/>
        <v>99.871134020618555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IFERROR(__xludf.DUMMYFUNCTION("IMPORTRANGE(""https://docs.google.com/spreadsheets/d/1MeEWN-I1oV_STSDYn1IFDPWt_1FKiwhDph83XaGc0o0/edit?usp=sharing"",""งบพรบ!CH67"")"),0)</f>
        <v>0</v>
      </c>
      <c r="M173" s="93">
        <f ca="1">IFERROR(__xludf.DUMMYFUNCTION("IMPORTRANGE(""https://docs.google.com/spreadsheets/d/1MeEWN-I1oV_STSDYn1IFDPWt_1FKiwhDph83XaGc0o0/edit?usp=sharing"",""งบพรบ!CK67"")"),0)</f>
        <v>0</v>
      </c>
      <c r="N173" s="93">
        <f ca="1">IFERROR(__xludf.DUMMYFUNCTION("IMPORTRANGE(""https://docs.google.com/spreadsheets/d/1MeEWN-I1oV_STSDYn1IFDPWt_1FKiwhDph83XaGc0o0/edit?usp=sharing"",""งบพรบ!CM67"")"),0)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53000</v>
      </c>
      <c r="M181" s="155">
        <f t="shared" ca="1" si="92"/>
        <v>53000</v>
      </c>
      <c r="N181" s="155">
        <f t="shared" ca="1" si="92"/>
        <v>39595</v>
      </c>
      <c r="O181" s="155">
        <f t="shared" ref="O181:O189" ca="1" si="93">IF(L181&gt;0,N181*100/L181,0)</f>
        <v>74.70754716981132</v>
      </c>
      <c r="P181" s="155">
        <f t="shared" ref="P181:P189" ca="1" si="94">IF(M181&gt;0,N181*100/M181,0)</f>
        <v>74.70754716981132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53000</v>
      </c>
      <c r="M183" s="93">
        <f t="shared" ca="1" si="95"/>
        <v>53000</v>
      </c>
      <c r="N183" s="93">
        <f t="shared" ca="1" si="95"/>
        <v>39595</v>
      </c>
      <c r="O183" s="93">
        <f t="shared" ca="1" si="93"/>
        <v>74.70754716981132</v>
      </c>
      <c r="P183" s="93">
        <f t="shared" ca="1" si="94"/>
        <v>74.70754716981132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53000</v>
      </c>
      <c r="M184" s="497">
        <f t="shared" ca="1" si="96"/>
        <v>53000</v>
      </c>
      <c r="N184" s="497">
        <f t="shared" ca="1" si="96"/>
        <v>39595</v>
      </c>
      <c r="O184" s="497">
        <f t="shared" ca="1" si="93"/>
        <v>74.70754716981132</v>
      </c>
      <c r="P184" s="497">
        <f t="shared" ca="1" si="94"/>
        <v>74.70754716981132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IFERROR(__xludf.DUMMYFUNCTION("IMPORTRANGE(""https://docs.google.com/spreadsheets/d/1MeEWN-I1oV_STSDYn1IFDPWt_1FKiwhDph83XaGc0o0/edit?usp=sharing"",""งบพรบ!CO67"")"),53000)</f>
        <v>53000</v>
      </c>
      <c r="M186" s="93">
        <f ca="1">IFERROR(__xludf.DUMMYFUNCTION("IMPORTRANGE(""https://docs.google.com/spreadsheets/d/1MeEWN-I1oV_STSDYn1IFDPWt_1FKiwhDph83XaGc0o0/edit?usp=sharing"",""งบพรบ!CT67"")"),53000)</f>
        <v>53000</v>
      </c>
      <c r="N186" s="93">
        <f ca="1">IFERROR(__xludf.DUMMYFUNCTION("IMPORTRANGE(""https://docs.google.com/spreadsheets/d/1MeEWN-I1oV_STSDYn1IFDPWt_1FKiwhDph83XaGc0o0/edit?usp=sharing"",""งบพรบ!CV67"")"),39595)</f>
        <v>39595</v>
      </c>
      <c r="O186" s="93">
        <f t="shared" ca="1" si="93"/>
        <v>74.70754716981132</v>
      </c>
      <c r="P186" s="93">
        <f t="shared" ca="1" si="94"/>
        <v>74.70754716981132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IFERROR(__xludf.DUMMYFUNCTION("IMPORTRANGE(""https://docs.google.com/spreadsheets/d/1MeEWN-I1oV_STSDYn1IFDPWt_1FKiwhDph83XaGc0o0/edit?usp=sharing"",""งบพรบ!CR67"")"),0)</f>
        <v>0</v>
      </c>
      <c r="M189" s="93">
        <f ca="1">IFERROR(__xludf.DUMMYFUNCTION("IMPORTRANGE(""https://docs.google.com/spreadsheets/d/1MeEWN-I1oV_STSDYn1IFDPWt_1FKiwhDph83XaGc0o0/edit?usp=sharing"",""งบพรบ!CU67"")"),0)</f>
        <v>0</v>
      </c>
      <c r="N189" s="93">
        <f ca="1">IFERROR(__xludf.DUMMYFUNCTION("IMPORTRANGE(""https://docs.google.com/spreadsheets/d/1MeEWN-I1oV_STSDYn1IFDPWt_1FKiwhDph83XaGc0o0/edit?usp=sharing"",""งบพรบ!CW67"")"),0)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IFERROR(__xludf.DUMMYFUNCTION("IMPORTRANGE(""https://docs.google.com/spreadsheets/d/1QqKyyYR6Q21VydFLVH3TRQUabQu_ym0Zz7PgGX0-kHA/edit?usp=sharing"",""แผน!Z67"")"),6000)</f>
        <v>6000</v>
      </c>
      <c r="M191" s="155"/>
      <c r="N191" s="276">
        <v>2020</v>
      </c>
      <c r="O191" s="155">
        <f ca="1">IF(L191&gt;0,N191*100/L191,0)</f>
        <v>33.666666666666664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243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243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37575</v>
      </c>
      <c r="O198" s="155">
        <f ca="1">IF(L198&gt;0,N198*100/L198,0)</f>
        <v>96.34615384615384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IFERROR(__xludf.DUMMYFUNCTION("IMPORTRANGE(""https://docs.google.com/spreadsheets/d/1QqKyyYR6Q21VydFLVH3TRQUabQu_ym0Zz7PgGX0-kHA/edit?usp=sharing"",""แผน!AE67"")"),3000)</f>
        <v>3000</v>
      </c>
      <c r="M199" s="497"/>
      <c r="N199" s="284">
        <v>1575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IFERROR(__xludf.DUMMYFUNCTION("IMPORTRANGE(""https://docs.google.com/spreadsheets/d/1QqKyyYR6Q21VydFLVH3TRQUabQu_ym0Zz7PgGX0-kHA/edit?usp=sharing"",""แผน!AF67"")"),24000)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IFERROR(__xludf.DUMMYFUNCTION("IMPORTRANGE(""https://docs.google.com/spreadsheets/d/1QqKyyYR6Q21VydFLVH3TRQUabQu_ym0Zz7PgGX0-kHA/edit?usp=sharing"",""แผน!AG67"")"),12000)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IFERROR(__xludf.DUMMYFUNCTION("IMPORTRANGE(""https://docs.google.com/spreadsheets/d/1QqKyyYR6Q21VydFLVH3TRQUabQu_ym0Zz7PgGX0-kHA/edit?usp=sharing"",""แผน!AP67"")"),3000)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IFERROR(__xludf.DUMMYFUNCTION("IMPORTRANGE(""https://docs.google.com/spreadsheets/d/1QqKyyYR6Q21VydFLVH3TRQUabQu_ym0Zz7PgGX0-kHA/edit?usp=sharing"",""แผน!AQ67"")"),5000)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IFERROR(__xludf.DUMMYFUNCTION("IMPORTRANGE(""https://docs.google.com/spreadsheets/d/1QqKyyYR6Q21VydFLVH3TRQUabQu_ym0Zz7PgGX0-kHA/edit?usp=sharing"",""แผน!AR67"")"),0)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IFERROR(__xludf.DUMMYFUNCTION("IMPORTRANGE(""https://docs.google.com/spreadsheets/d/1QqKyyYR6Q21VydFLVH3TRQUabQu_ym0Zz7PgGX0-kHA/edit?usp=sharing"",""แผน!AV67"")"),0)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IFERROR(__xludf.DUMMYFUNCTION("IMPORTRANGE(""https://docs.google.com/spreadsheets/d/1QqKyyYR6Q21VydFLVH3TRQUabQu_ym0Zz7PgGX0-kHA/edit?usp=sharing"",""แผน!AW67"")"),0)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IFERROR(__xludf.DUMMYFUNCTION("IMPORTRANGE(""https://docs.google.com/spreadsheets/d/1QqKyyYR6Q21VydFLVH3TRQUabQu_ym0Zz7PgGX0-kHA/edit?usp=sharing"",""แผน!AX67"")"),0)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IFERROR(__xludf.DUMMYFUNCTION("IMPORTRANGE(""https://docs.google.com/spreadsheets/d/1QqKyyYR6Q21VydFLVH3TRQUabQu_ym0Zz7PgGX0-kHA/edit?usp=sharing"",""แผน!AY67"")"),0)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IFERROR(__xludf.DUMMYFUNCTION("IMPORTRANGE(""https://docs.google.com/spreadsheets/d/1QqKyyYR6Q21VydFLVH3TRQUabQu_ym0Zz7PgGX0-kHA/edit?usp=sharing"",""แผน!AZ67"")"),0)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IFERROR(__xludf.DUMMYFUNCTION("IMPORTRANGE(""https://docs.google.com/spreadsheets/d/1QqKyyYR6Q21VydFLVH3TRQUabQu_ym0Zz7PgGX0-kHA/edit?usp=sharing"",""แผน!BA67"")"),0)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IFERROR(__xludf.DUMMYFUNCTION("IMPORTRANGE(""https://docs.google.com/spreadsheets/d/1QqKyyYR6Q21VydFLVH3TRQUabQu_ym0Zz7PgGX0-kHA/edit?usp=sharing"",""แผน!BB67"")"),0)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IFERROR(__xludf.DUMMYFUNCTION("IMPORTRANGE(""https://docs.google.com/spreadsheets/d/1QqKyyYR6Q21VydFLVH3TRQUabQu_ym0Zz7PgGX0-kHA/edit?usp=sharing"",""แผน!BC67"")"),0)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16569</v>
      </c>
      <c r="O261" s="155">
        <f t="shared" ref="O261:O269" ca="1" si="117">IF(L261&gt;0,N261*100/L261,0)</f>
        <v>61.594795539033456</v>
      </c>
      <c r="P261" s="155">
        <f t="shared" ref="P261:P269" ca="1" si="118">IF(M261&gt;0,N261*100/M261,0)</f>
        <v>61.594795539033456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16569</v>
      </c>
      <c r="O263" s="93">
        <f t="shared" ca="1" si="117"/>
        <v>61.594795539033456</v>
      </c>
      <c r="P263" s="93">
        <f t="shared" ca="1" si="118"/>
        <v>61.594795539033456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16569</v>
      </c>
      <c r="O264" s="497">
        <f t="shared" ca="1" si="117"/>
        <v>61.594795539033456</v>
      </c>
      <c r="P264" s="497">
        <f t="shared" ca="1" si="118"/>
        <v>61.594795539033456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IFERROR(__xludf.DUMMYFUNCTION("IMPORTRANGE(""https://docs.google.com/spreadsheets/d/1MeEWN-I1oV_STSDYn1IFDPWt_1FKiwhDph83XaGc0o0/edit?usp=sharing"",""งบพรบ!CY67"")"),26900)</f>
        <v>26900</v>
      </c>
      <c r="M266" s="93">
        <f ca="1">IFERROR(__xludf.DUMMYFUNCTION("IMPORTRANGE(""https://docs.google.com/spreadsheets/d/1MeEWN-I1oV_STSDYn1IFDPWt_1FKiwhDph83XaGc0o0/edit?usp=sharing"",""งบพรบ!DD67"")"),26900)</f>
        <v>26900</v>
      </c>
      <c r="N266" s="93">
        <f ca="1">IFERROR(__xludf.DUMMYFUNCTION("IMPORTRANGE(""https://docs.google.com/spreadsheets/d/1MeEWN-I1oV_STSDYn1IFDPWt_1FKiwhDph83XaGc0o0/edit?usp=sharing"",""งบพรบ!DF67"")"),16569)</f>
        <v>16569</v>
      </c>
      <c r="O266" s="93">
        <f t="shared" ca="1" si="117"/>
        <v>61.594795539033456</v>
      </c>
      <c r="P266" s="93">
        <f t="shared" ca="1" si="118"/>
        <v>61.594795539033456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IFERROR(__xludf.DUMMYFUNCTION("IMPORTRANGE(""https://docs.google.com/spreadsheets/d/1MeEWN-I1oV_STSDYn1IFDPWt_1FKiwhDph83XaGc0o0/edit?usp=sharing"",""งบพรบ!DB67"")"),0)</f>
        <v>0</v>
      </c>
      <c r="M269" s="93">
        <f ca="1">IFERROR(__xludf.DUMMYFUNCTION("IMPORTRANGE(""https://docs.google.com/spreadsheets/d/1MeEWN-I1oV_STSDYn1IFDPWt_1FKiwhDph83XaGc0o0/edit?usp=sharing"",""งบพรบ!DE67"")"),0)</f>
        <v>0</v>
      </c>
      <c r="N269" s="93">
        <f ca="1">IFERROR(__xludf.DUMMYFUNCTION("IMPORTRANGE(""https://docs.google.com/spreadsheets/d/1MeEWN-I1oV_STSDYn1IFDPWt_1FKiwhDph83XaGc0o0/edit?usp=sharing"",""งบพรบ!DG67"")"),0)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100</v>
      </c>
      <c r="J276" s="874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191010</v>
      </c>
      <c r="M277" s="155">
        <f t="shared" ca="1" si="125"/>
        <v>191010</v>
      </c>
      <c r="N277" s="155">
        <f t="shared" ca="1" si="125"/>
        <v>152963.97</v>
      </c>
      <c r="O277" s="155">
        <f t="shared" ref="O277:O285" ca="1" si="126">IF(L277&gt;0,N277*100/L277,0)</f>
        <v>80.081655410711477</v>
      </c>
      <c r="P277" s="155">
        <f t="shared" ref="P277:P285" ca="1" si="127">IF(M277&gt;0,N277*100/M277,0)</f>
        <v>80.081655410711477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191010</v>
      </c>
      <c r="M279" s="93">
        <f t="shared" ca="1" si="128"/>
        <v>191010</v>
      </c>
      <c r="N279" s="93">
        <f t="shared" ca="1" si="128"/>
        <v>152963.97</v>
      </c>
      <c r="O279" s="93">
        <f t="shared" ca="1" si="126"/>
        <v>80.081655410711477</v>
      </c>
      <c r="P279" s="93">
        <f t="shared" ca="1" si="127"/>
        <v>80.081655410711477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191010</v>
      </c>
      <c r="M280" s="497">
        <f t="shared" ca="1" si="129"/>
        <v>191010</v>
      </c>
      <c r="N280" s="497">
        <f t="shared" ca="1" si="129"/>
        <v>152963.97</v>
      </c>
      <c r="O280" s="497">
        <f t="shared" ca="1" si="126"/>
        <v>80.081655410711477</v>
      </c>
      <c r="P280" s="497">
        <f t="shared" ca="1" si="127"/>
        <v>80.081655410711477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IFERROR(__xludf.DUMMYFUNCTION("IMPORTRANGE(""https://docs.google.com/spreadsheets/d/1MeEWN-I1oV_STSDYn1IFDPWt_1FKiwhDph83XaGc0o0/edit?usp=sharing"",""งบพรบ!DI67"")"),191010)</f>
        <v>191010</v>
      </c>
      <c r="M282" s="93">
        <f ca="1">IFERROR(__xludf.DUMMYFUNCTION("IMPORTRANGE(""https://docs.google.com/spreadsheets/d/1MeEWN-I1oV_STSDYn1IFDPWt_1FKiwhDph83XaGc0o0/edit?usp=sharing"",""งบพรบ!DN67"")"),191010)</f>
        <v>191010</v>
      </c>
      <c r="N282" s="93">
        <f ca="1">IFERROR(__xludf.DUMMYFUNCTION("IMPORTRANGE(""https://docs.google.com/spreadsheets/d/1MeEWN-I1oV_STSDYn1IFDPWt_1FKiwhDph83XaGc0o0/edit?usp=sharing"",""งบพรบ!DP67"")"),152963.97)</f>
        <v>152963.97</v>
      </c>
      <c r="O282" s="93">
        <f t="shared" ca="1" si="126"/>
        <v>80.081655410711477</v>
      </c>
      <c r="P282" s="93">
        <f t="shared" ca="1" si="127"/>
        <v>80.081655410711477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IFERROR(__xludf.DUMMYFUNCTION("IMPORTRANGE(""https://docs.google.com/spreadsheets/d/1MeEWN-I1oV_STSDYn1IFDPWt_1FKiwhDph83XaGc0o0/edit?usp=sharing"",""งบพรบ!DL67"")"),0)</f>
        <v>0</v>
      </c>
      <c r="M285" s="93">
        <f ca="1">IFERROR(__xludf.DUMMYFUNCTION("IMPORTRANGE(""https://docs.google.com/spreadsheets/d/1MeEWN-I1oV_STSDYn1IFDPWt_1FKiwhDph83XaGc0o0/edit?usp=sharing"",""งบพรบ!DO67"")"),0)</f>
        <v>0</v>
      </c>
      <c r="N285" s="93">
        <f ca="1">IFERROR(__xludf.DUMMYFUNCTION("IMPORTRANGE(""https://docs.google.com/spreadsheets/d/1MeEWN-I1oV_STSDYn1IFDPWt_1FKiwhDph83XaGc0o0/edit?usp=sharing"",""งบพรบ!DQ67"")"),0)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IFERROR(__xludf.DUMMYFUNCTION("IMPORTRANGE(""https://docs.google.com/spreadsheets/d/1QqKyyYR6Q21VydFLVH3TRQUabQu_ym0Zz7PgGX0-kHA/edit?usp=sharing"",""แผน!EB67"")"),10)</f>
        <v>10</v>
      </c>
      <c r="J288" s="676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IFERROR(__xludf.DUMMYFUNCTION("IMPORTRANGE(""https://docs.google.com/spreadsheets/d/1QqKyyYR6Q21VydFLVH3TRQUabQu_ym0Zz7PgGX0-kHA/edit?usp=sharing"",""แผน!EB67"")"),10)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IFERROR(__xludf.DUMMYFUNCTION("IMPORTRANGE(""https://docs.google.com/spreadsheets/d/1QqKyyYR6Q21VydFLVH3TRQUabQu_ym0Zz7PgGX0-kHA/edit?usp=sharing"",""แผน!EB67"")"),10)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206800</v>
      </c>
      <c r="N298" s="155">
        <f t="shared" ca="1" si="135"/>
        <v>152926.6</v>
      </c>
      <c r="O298" s="155">
        <f t="shared" ref="O298:O306" ca="1" si="136">IF(L298&gt;0,N298*100/L298,0)</f>
        <v>73.949032882011608</v>
      </c>
      <c r="P298" s="155">
        <f t="shared" ref="P298:P306" ca="1" si="137">IF(M298&gt;0,N298*100/M298,0)</f>
        <v>73.949032882011608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206800</v>
      </c>
      <c r="N300" s="93">
        <f t="shared" ca="1" si="138"/>
        <v>152926.6</v>
      </c>
      <c r="O300" s="93">
        <f t="shared" ca="1" si="136"/>
        <v>73.949032882011608</v>
      </c>
      <c r="P300" s="93">
        <f t="shared" ca="1" si="137"/>
        <v>73.949032882011608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206800</v>
      </c>
      <c r="N301" s="497">
        <f t="shared" ca="1" si="139"/>
        <v>152926.6</v>
      </c>
      <c r="O301" s="497">
        <f t="shared" ca="1" si="136"/>
        <v>73.949032882011608</v>
      </c>
      <c r="P301" s="497">
        <f t="shared" ca="1" si="137"/>
        <v>73.949032882011608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IFERROR(__xludf.DUMMYFUNCTION("IMPORTRANGE(""https://docs.google.com/spreadsheets/d/1MeEWN-I1oV_STSDYn1IFDPWt_1FKiwhDph83XaGc0o0/edit?usp=sharing"",""งบพรบ!DS67"")"),206800)</f>
        <v>206800</v>
      </c>
      <c r="M303" s="93">
        <f ca="1">IFERROR(__xludf.DUMMYFUNCTION("IMPORTRANGE(""https://docs.google.com/spreadsheets/d/1MeEWN-I1oV_STSDYn1IFDPWt_1FKiwhDph83XaGc0o0/edit?usp=sharing"",""งบพรบ!DX67"")"),206800)</f>
        <v>206800</v>
      </c>
      <c r="N303" s="93">
        <f ca="1">IFERROR(__xludf.DUMMYFUNCTION("IMPORTRANGE(""https://docs.google.com/spreadsheets/d/1MeEWN-I1oV_STSDYn1IFDPWt_1FKiwhDph83XaGc0o0/edit?usp=sharing"",""งบพรบ!DZ67"")"),152926.6)</f>
        <v>152926.6</v>
      </c>
      <c r="O303" s="93">
        <f t="shared" ca="1" si="136"/>
        <v>73.949032882011608</v>
      </c>
      <c r="P303" s="93">
        <f t="shared" ca="1" si="137"/>
        <v>73.949032882011608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IFERROR(__xludf.DUMMYFUNCTION("IMPORTRANGE(""https://docs.google.com/spreadsheets/d/1MeEWN-I1oV_STSDYn1IFDPWt_1FKiwhDph83XaGc0o0/edit?usp=sharing"",""งบพรบ!DV67"")"),0)</f>
        <v>0</v>
      </c>
      <c r="M306" s="93">
        <f ca="1">IFERROR(__xludf.DUMMYFUNCTION("IMPORTRANGE(""https://docs.google.com/spreadsheets/d/1MeEWN-I1oV_STSDYn1IFDPWt_1FKiwhDph83XaGc0o0/edit?usp=sharing"",""งบพรบ!DY67"")"),0)</f>
        <v>0</v>
      </c>
      <c r="N306" s="93">
        <f ca="1">IFERROR(__xludf.DUMMYFUNCTION("IMPORTRANGE(""https://docs.google.com/spreadsheets/d/1MeEWN-I1oV_STSDYn1IFDPWt_1FKiwhDph83XaGc0o0/edit?usp=sharing"",""งบพรบ!EA67"")"),0)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IFERROR(__xludf.DUMMYFUNCTION("IMPORTRANGE(""https://docs.google.com/spreadsheets/d/1QqKyyYR6Q21VydFLVH3TRQUabQu_ym0Zz7PgGX0-kHA/edit?usp=sharing"",""แผน!ED67"")"),15)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IFERROR(__xludf.DUMMYFUNCTION("IMPORTRANGE(""https://docs.google.com/spreadsheets/d/1QqKyyYR6Q21VydFLVH3TRQUabQu_ym0Zz7PgGX0-kHA/edit?usp=sharing"",""แผน!ED67"")"),15)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IFERROR(__xludf.DUMMYFUNCTION("IMPORTRANGE(""https://docs.google.com/spreadsheets/d/1QqKyyYR6Q21VydFLVH3TRQUabQu_ym0Zz7PgGX0-kHA/edit?usp=sharing"",""แผน!ED67"")"),15)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IFERROR(__xludf.DUMMYFUNCTION("IMPORTRANGE(""https://docs.google.com/spreadsheets/d/1QqKyyYR6Q21VydFLVH3TRQUabQu_ym0Zz7PgGX0-kHA/edit?usp=sharing"",""แผน!EE67"")"),3)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IFERROR(__xludf.DUMMYFUNCTION("IMPORTRANGE(""https://docs.google.com/spreadsheets/d/1MeEWN-I1oV_STSDYn1IFDPWt_1FKiwhDph83XaGc0o0/edit?usp=sharing"",""งบพรบ!EC67"")"),0)</f>
        <v>0</v>
      </c>
      <c r="M320" s="93">
        <f ca="1">IFERROR(__xludf.DUMMYFUNCTION("IMPORTRANGE(""https://docs.google.com/spreadsheets/d/1MeEWN-I1oV_STSDYn1IFDPWt_1FKiwhDph83XaGc0o0/edit?usp=sharing"",""งบพรบ!EH67"")"),0)</f>
        <v>0</v>
      </c>
      <c r="N320" s="93">
        <f ca="1">IFERROR(__xludf.DUMMYFUNCTION("IMPORTRANGE(""https://docs.google.com/spreadsheets/d/1MeEWN-I1oV_STSDYn1IFDPWt_1FKiwhDph83XaGc0o0/edit?usp=sharing"",""งบพรบ!EJ67"")"),0)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IFERROR(__xludf.DUMMYFUNCTION("IMPORTRANGE(""https://docs.google.com/spreadsheets/d/1MeEWN-I1oV_STSDYn1IFDPWt_1FKiwhDph83XaGc0o0/edit?usp=sharing"",""งบพรบ!EF67"")"),0)</f>
        <v>0</v>
      </c>
      <c r="M323" s="93">
        <f ca="1">IFERROR(__xludf.DUMMYFUNCTION("IMPORTRANGE(""https://docs.google.com/spreadsheets/d/1MeEWN-I1oV_STSDYn1IFDPWt_1FKiwhDph83XaGc0o0/edit?usp=sharing"",""งบพรบ!EI67"")"),0)</f>
        <v>0</v>
      </c>
      <c r="N323" s="93">
        <f ca="1">IFERROR(__xludf.DUMMYFUNCTION("IMPORTRANGE(""https://docs.google.com/spreadsheets/d/1MeEWN-I1oV_STSDYn1IFDPWt_1FKiwhDph83XaGc0o0/edit?usp=sharing"",""งบพรบ!EK67"")"),0)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IFERROR(__xludf.DUMMYFUNCTION("IMPORTRANGE(""https://docs.google.com/spreadsheets/d/1QqKyyYR6Q21VydFLVH3TRQUabQu_ym0Zz7PgGX0-kHA/edit?usp=sharing"",""แผน!EG67"")"),1600)</f>
        <v>1600</v>
      </c>
      <c r="J327" s="444">
        <f ca="1">J338+J341+J342+J343</f>
        <v>4118</v>
      </c>
      <c r="K327" s="445">
        <f ca="1">IF(I327&gt;0,J327*100/I327,0)</f>
        <v>257.375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687200</v>
      </c>
      <c r="M328" s="155">
        <f t="shared" ca="1" si="149"/>
        <v>689700</v>
      </c>
      <c r="N328" s="155">
        <f t="shared" ca="1" si="149"/>
        <v>497254.52</v>
      </c>
      <c r="O328" s="155">
        <f t="shared" ref="O328:O336" ca="1" si="150">IF(L328&gt;0,N328*100/L328,0)</f>
        <v>72.359505238649589</v>
      </c>
      <c r="P328" s="155">
        <f t="shared" ref="P328:P336" ca="1" si="151">IF(M328&gt;0,N328*100/M328,0)</f>
        <v>72.097219080759757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687200</v>
      </c>
      <c r="M330" s="93">
        <f t="shared" ca="1" si="152"/>
        <v>689700</v>
      </c>
      <c r="N330" s="93">
        <f t="shared" ca="1" si="152"/>
        <v>497254.52</v>
      </c>
      <c r="O330" s="93">
        <f t="shared" ca="1" si="150"/>
        <v>72.359505238649589</v>
      </c>
      <c r="P330" s="93">
        <f t="shared" ca="1" si="151"/>
        <v>72.097219080759757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687200</v>
      </c>
      <c r="M331" s="497">
        <f t="shared" ca="1" si="153"/>
        <v>689700</v>
      </c>
      <c r="N331" s="497">
        <f t="shared" ca="1" si="153"/>
        <v>497254.52</v>
      </c>
      <c r="O331" s="497">
        <f t="shared" ca="1" si="150"/>
        <v>72.359505238649589</v>
      </c>
      <c r="P331" s="497">
        <f t="shared" ca="1" si="151"/>
        <v>72.097219080759757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IFERROR(__xludf.DUMMYFUNCTION("IMPORTRANGE(""https://docs.google.com/spreadsheets/d/1MeEWN-I1oV_STSDYn1IFDPWt_1FKiwhDph83XaGc0o0/edit?usp=sharing"",""งบพรบ!EM67"")"),687200)</f>
        <v>687200</v>
      </c>
      <c r="M333" s="93">
        <f ca="1">IFERROR(__xludf.DUMMYFUNCTION("IMPORTRANGE(""https://docs.google.com/spreadsheets/d/1MeEWN-I1oV_STSDYn1IFDPWt_1FKiwhDph83XaGc0o0/edit?usp=sharing"",""งบพรบ!ER67"")"),689700)</f>
        <v>689700</v>
      </c>
      <c r="N333" s="93">
        <f ca="1">IFERROR(__xludf.DUMMYFUNCTION("IMPORTRANGE(""https://docs.google.com/spreadsheets/d/1MeEWN-I1oV_STSDYn1IFDPWt_1FKiwhDph83XaGc0o0/edit?usp=sharing"",""งบพรบ!ET67"")"),497254.52)</f>
        <v>497254.52</v>
      </c>
      <c r="O333" s="93">
        <f t="shared" ca="1" si="150"/>
        <v>72.359505238649589</v>
      </c>
      <c r="P333" s="93">
        <f t="shared" ca="1" si="151"/>
        <v>72.097219080759757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IFERROR(__xludf.DUMMYFUNCTION("IMPORTRANGE(""https://docs.google.com/spreadsheets/d/1MeEWN-I1oV_STSDYn1IFDPWt_1FKiwhDph83XaGc0o0/edit?usp=sharing"",""งบพรบ!EP67"")"),0)</f>
        <v>0</v>
      </c>
      <c r="M336" s="93">
        <f ca="1">IFERROR(__xludf.DUMMYFUNCTION("IMPORTRANGE(""https://docs.google.com/spreadsheets/d/1MeEWN-I1oV_STSDYn1IFDPWt_1FKiwhDph83XaGc0o0/edit?usp=sharing"",""งบพรบ!ES67"")"),0)</f>
        <v>0</v>
      </c>
      <c r="N336" s="93">
        <f ca="1">IFERROR(__xludf.DUMMYFUNCTION("IMPORTRANGE(""https://docs.google.com/spreadsheets/d/1MeEWN-I1oV_STSDYn1IFDPWt_1FKiwhDph83XaGc0o0/edit?usp=sharing"",""งบพรบ!EU67"")"),0)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IFERROR(__xludf.DUMMYFUNCTION("IMPORTRANGE(""https://docs.google.com/spreadsheets/d/1QqKyyYR6Q21VydFLVH3TRQUabQu_ym0Zz7PgGX0-kHA/edit?usp=sharing"",""แผน!EG67"")"),1600)</f>
        <v>1600</v>
      </c>
      <c r="J338" s="270">
        <f ca="1">IFERROR(__xludf.DUMMYFUNCTION("IMPORTRANGE(""https://docs.google.com/spreadsheets/d/1kVcqe37tkHyjCSG3S0O1AXqVkqjo8mSIZil3BcpIysc/edit?usp=sharing"",""ศูนย์!D67"")"),3998)</f>
        <v>3998</v>
      </c>
      <c r="K338" s="497">
        <f ca="1">IF(I338&gt;0,J338*100/I338,0)</f>
        <v>249.875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IFERROR(__xludf.DUMMYFUNCTION("IMPORTRANGE(""https://docs.google.com/spreadsheets/d/1QqKyyYR6Q21VydFLVH3TRQUabQu_ym0Zz7PgGX0-kHA/edit?usp=sharing"",""แผน!EH67"")"),6)</f>
        <v>6</v>
      </c>
      <c r="J340" s="270">
        <f ca="1">IFERROR(__xludf.DUMMYFUNCTION("IMPORTRANGE(""https://docs.google.com/spreadsheets/d/1kVcqe37tkHyjCSG3S0O1AXqVkqjo8mSIZil3BcpIysc/edit?usp=sharing"",""ศูนย์!E67"")"),4)</f>
        <v>4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IFERROR(__xludf.DUMMYFUNCTION("IMPORTRANGE(""https://docs.google.com/spreadsheets/d/1kVcqe37tkHyjCSG3S0O1AXqVkqjo8mSIZil3BcpIysc/edit?usp=sharing"",""ศูนย์!F67"")"),112)</f>
        <v>112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IFERROR(__xludf.DUMMYFUNCTION("IMPORTRANGE(""https://docs.google.com/spreadsheets/d/1kVcqe37tkHyjCSG3S0O1AXqVkqjo8mSIZil3BcpIysc/edit?usp=sharing"",""ศูนย์!G67"")"),8)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372250</v>
      </c>
      <c r="M345" s="155">
        <f t="shared" ca="1" si="155"/>
        <v>405950</v>
      </c>
      <c r="N345" s="155">
        <f t="shared" ca="1" si="155"/>
        <v>298336.28000000003</v>
      </c>
      <c r="O345" s="155">
        <f t="shared" ref="O345:O353" ca="1" si="156">IF(L345&gt;0,N345*100/L345,0)</f>
        <v>80.144064472800551</v>
      </c>
      <c r="P345" s="155">
        <f t="shared" ref="P345:P353" ca="1" si="157">IF(M345&gt;0,N345*100/M345,0)</f>
        <v>73.490892967114192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372250</v>
      </c>
      <c r="M347" s="93">
        <f t="shared" ca="1" si="158"/>
        <v>405950</v>
      </c>
      <c r="N347" s="93">
        <f t="shared" ca="1" si="158"/>
        <v>298336.28000000003</v>
      </c>
      <c r="O347" s="93">
        <f t="shared" ca="1" si="156"/>
        <v>80.144064472800551</v>
      </c>
      <c r="P347" s="93">
        <f t="shared" ca="1" si="157"/>
        <v>73.490892967114192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357250</v>
      </c>
      <c r="M348" s="497">
        <f t="shared" ca="1" si="159"/>
        <v>390950</v>
      </c>
      <c r="N348" s="497">
        <f t="shared" ca="1" si="159"/>
        <v>283336.28000000003</v>
      </c>
      <c r="O348" s="497">
        <f t="shared" ca="1" si="156"/>
        <v>79.310365290412889</v>
      </c>
      <c r="P348" s="497">
        <f t="shared" ca="1" si="157"/>
        <v>72.473789487146703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IFERROR(__xludf.DUMMYFUNCTION("IMPORTRANGE(""https://docs.google.com/spreadsheets/d/1MeEWN-I1oV_STSDYn1IFDPWt_1FKiwhDph83XaGc0o0/edit?usp=sharing"",""งบพรบ!EW67"")"),357250)</f>
        <v>357250</v>
      </c>
      <c r="M350" s="93">
        <f ca="1">IFERROR(__xludf.DUMMYFUNCTION("IMPORTRANGE(""https://docs.google.com/spreadsheets/d/1MeEWN-I1oV_STSDYn1IFDPWt_1FKiwhDph83XaGc0o0/edit?usp=sharing"",""งบพรบ!FB67"")"),390950)</f>
        <v>390950</v>
      </c>
      <c r="N350" s="93">
        <f ca="1">IFERROR(__xludf.DUMMYFUNCTION("IMPORTRANGE(""https://docs.google.com/spreadsheets/d/1MeEWN-I1oV_STSDYn1IFDPWt_1FKiwhDph83XaGc0o0/edit?usp=sharing"",""งบพรบ!FD67"")"),283336.28)</f>
        <v>283336.28000000003</v>
      </c>
      <c r="O350" s="93">
        <f t="shared" ca="1" si="156"/>
        <v>79.310365290412889</v>
      </c>
      <c r="P350" s="93">
        <f t="shared" ca="1" si="157"/>
        <v>72.473789487146703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15000</v>
      </c>
      <c r="M351" s="497">
        <f t="shared" ca="1" si="160"/>
        <v>15000</v>
      </c>
      <c r="N351" s="497">
        <f t="shared" ca="1" si="160"/>
        <v>15000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IFERROR(__xludf.DUMMYFUNCTION("IMPORTRANGE(""https://docs.google.com/spreadsheets/d/1MeEWN-I1oV_STSDYn1IFDPWt_1FKiwhDph83XaGc0o0/edit?usp=sharing"",""งบพรบ!EZ67"")"),15000)</f>
        <v>15000</v>
      </c>
      <c r="M353" s="93">
        <f ca="1">IFERROR(__xludf.DUMMYFUNCTION("IMPORTRANGE(""https://docs.google.com/spreadsheets/d/1MeEWN-I1oV_STSDYn1IFDPWt_1FKiwhDph83XaGc0o0/edit?usp=sharing"",""งบพรบ!FC67"")"),15000)</f>
        <v>15000</v>
      </c>
      <c r="N353" s="93">
        <f ca="1">IFERROR(__xludf.DUMMYFUNCTION("IMPORTRANGE(""https://docs.google.com/spreadsheets/d/1MeEWN-I1oV_STSDYn1IFDPWt_1FKiwhDph83XaGc0o0/edit?usp=sharing"",""งบพรบ!FE67"")"),15000)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IFERROR(__xludf.DUMMYFUNCTION("IMPORTRANGE(""https://docs.google.com/spreadsheets/d/1QqKyyYR6Q21VydFLVH3TRQUabQu_ym0Zz7PgGX0-kHA/edit?usp=sharing"",""แผน!EP67"")"),190)</f>
        <v>190</v>
      </c>
      <c r="J355" s="464">
        <f ca="1">J362</f>
        <v>162</v>
      </c>
      <c r="K355" s="465">
        <f ca="1">IF(I355&gt;0,J355*100/I355,0)</f>
        <v>85.263157894736835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IFERROR(__xludf.DUMMYFUNCTION("IMPORTRANGE(""https://docs.google.com/spreadsheets/d/1XWAQStnk-4SwqDmLtmXYiTMKHgktTP8We1SCoS47DrQ/edit?usp=sharing"",""จัดที่ดิน!W67"")"),194)</f>
        <v>194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IFERROR(__xludf.DUMMYFUNCTION("IMPORTRANGE(""https://docs.google.com/spreadsheets/d/1QqKyyYR6Q21VydFLVH3TRQUabQu_ym0Zz7PgGX0-kHA/edit?usp=sharing"",""แผน!EO67"")"),2100)</f>
        <v>2100</v>
      </c>
      <c r="J359" s="270">
        <f ca="1">IFERROR(__xludf.DUMMYFUNCTION("IMPORTRANGE(""https://docs.google.com/spreadsheets/d/1XWAQStnk-4SwqDmLtmXYiTMKHgktTP8We1SCoS47DrQ/edit?usp=sharing"",""จัดที่ดิน!X67"")"),1601.24)</f>
        <v>1601.24</v>
      </c>
      <c r="K359" s="497">
        <f t="shared" ca="1" si="161"/>
        <v>76.249523809523808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IFERROR(__xludf.DUMMYFUNCTION("IMPORTRANGE(""https://docs.google.com/spreadsheets/d/1QqKyyYR6Q21VydFLVH3TRQUabQu_ym0Zz7PgGX0-kHA/edit?usp=sharing"",""แผน!EP67"")"),190)</f>
        <v>190</v>
      </c>
      <c r="J360" s="270">
        <f ca="1">IFERROR(__xludf.DUMMYFUNCTION("IMPORTRANGE(""https://docs.google.com/spreadsheets/d/1XWAQStnk-4SwqDmLtmXYiTMKHgktTP8We1SCoS47DrQ/edit?usp=sharing"",""จัดที่ดิน!Y67"")"),255)</f>
        <v>255</v>
      </c>
      <c r="K360" s="497">
        <f t="shared" ca="1" si="161"/>
        <v>134.21052631578948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IFERROR(__xludf.DUMMYFUNCTION("IMPORTRANGE(""https://docs.google.com/spreadsheets/d/1XWAQStnk-4SwqDmLtmXYiTMKHgktTP8We1SCoS47DrQ/edit?usp=sharing"",""จัดที่ดิน!Z67"")"),2403.48)</f>
        <v>2403.48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IFERROR(__xludf.DUMMYFUNCTION("IMPORTRANGE(""https://docs.google.com/spreadsheets/d/1QqKyyYR6Q21VydFLVH3TRQUabQu_ym0Zz7PgGX0-kHA/edit?usp=sharing"",""แผน!EP67"")"),190)</f>
        <v>190</v>
      </c>
      <c r="J362" s="270">
        <f ca="1">IFERROR(__xludf.DUMMYFUNCTION("IMPORTRANGE(""https://docs.google.com/spreadsheets/d/1XWAQStnk-4SwqDmLtmXYiTMKHgktTP8We1SCoS47DrQ/edit?usp=sharing"",""จัดที่ดิน!AA67"")"),162)</f>
        <v>162</v>
      </c>
      <c r="K362" s="497">
        <f t="shared" ca="1" si="161"/>
        <v>85.263157894736835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IFERROR(__xludf.DUMMYFUNCTION("IMPORTRANGE(""https://docs.google.com/spreadsheets/d/1XWAQStnk-4SwqDmLtmXYiTMKHgktTP8We1SCoS47DrQ/edit?usp=sharing"",""จัดที่ดิน!AB67"")"),1420.46)</f>
        <v>1420.46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340</v>
      </c>
      <c r="J364" s="478">
        <f t="shared" ca="1" si="162"/>
        <v>261</v>
      </c>
      <c r="K364" s="479">
        <f t="shared" ca="1" si="161"/>
        <v>76.764705882352942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IFERROR(__xludf.DUMMYFUNCTION("IMPORTRANGE(""https://docs.google.com/spreadsheets/d/1QqKyyYR6Q21VydFLVH3TRQUabQu_ym0Zz7PgGX0-kHA/edit?usp=sharing"",""แผน!EJ67"")"),120)</f>
        <v>120</v>
      </c>
      <c r="J365" s="490">
        <f ca="1">J372</f>
        <v>78</v>
      </c>
      <c r="K365" s="491">
        <f t="shared" ca="1" si="161"/>
        <v>65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IFERROR(__xludf.DUMMYFUNCTION("IMPORTRANGE(""https://docs.google.com/spreadsheets/d/1XWAQStnk-4SwqDmLtmXYiTMKHgktTP8We1SCoS47DrQ/edit?usp=sharing"",""จัดที่ดิน!E67"")"),111)</f>
        <v>111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IFERROR(__xludf.DUMMYFUNCTION("IMPORTRANGE(""https://docs.google.com/spreadsheets/d/1QqKyyYR6Q21VydFLVH3TRQUabQu_ym0Zz7PgGX0-kHA/edit?usp=sharing"",""แผน!EI67"")"),1500)</f>
        <v>1500</v>
      </c>
      <c r="J369" s="270">
        <f ca="1">IFERROR(__xludf.DUMMYFUNCTION("IMPORTRANGE(""https://docs.google.com/spreadsheets/d/1XWAQStnk-4SwqDmLtmXYiTMKHgktTP8We1SCoS47DrQ/edit?usp=sharing"",""จัดที่ดิน!F67"")"),1129.99)</f>
        <v>1129.99</v>
      </c>
      <c r="K369" s="497">
        <f t="shared" ca="1" si="163"/>
        <v>75.332666666666668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IFERROR(__xludf.DUMMYFUNCTION("IMPORTRANGE(""https://docs.google.com/spreadsheets/d/1QqKyyYR6Q21VydFLVH3TRQUabQu_ym0Zz7PgGX0-kHA/edit?usp=sharing"",""แผน!EJ67"")"),120)</f>
        <v>120</v>
      </c>
      <c r="J370" s="270">
        <f ca="1">IFERROR(__xludf.DUMMYFUNCTION("IMPORTRANGE(""https://docs.google.com/spreadsheets/d/1XWAQStnk-4SwqDmLtmXYiTMKHgktTP8We1SCoS47DrQ/edit?usp=sharing"",""จัดที่ดิน!G67"")"),170)</f>
        <v>170</v>
      </c>
      <c r="K370" s="497">
        <f t="shared" ca="1" si="163"/>
        <v>141.66666666666666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IFERROR(__xludf.DUMMYFUNCTION("IMPORTRANGE(""https://docs.google.com/spreadsheets/d/1XWAQStnk-4SwqDmLtmXYiTMKHgktTP8We1SCoS47DrQ/edit?usp=sharing"",""จัดที่ดิน!H67"")"),1912.23)</f>
        <v>1912.23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IFERROR(__xludf.DUMMYFUNCTION("IMPORTRANGE(""https://docs.google.com/spreadsheets/d/1QqKyyYR6Q21VydFLVH3TRQUabQu_ym0Zz7PgGX0-kHA/edit?usp=sharing"",""แผน!EJ67"")"),120)</f>
        <v>120</v>
      </c>
      <c r="J372" s="270">
        <f ca="1">IFERROR(__xludf.DUMMYFUNCTION("IMPORTRANGE(""https://docs.google.com/spreadsheets/d/1XWAQStnk-4SwqDmLtmXYiTMKHgktTP8We1SCoS47DrQ/edit?usp=sharing"",""จัดที่ดิน!I67"")"),78)</f>
        <v>78</v>
      </c>
      <c r="K372" s="497">
        <f t="shared" ca="1" si="163"/>
        <v>65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IFERROR(__xludf.DUMMYFUNCTION("IMPORTRANGE(""https://docs.google.com/spreadsheets/d/1XWAQStnk-4SwqDmLtmXYiTMKHgktTP8We1SCoS47DrQ/edit?usp=sharing"",""จัดที่ดิน!J67"")"),929.34)</f>
        <v>929.34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IFERROR(__xludf.DUMMYFUNCTION("IMPORTRANGE(""https://docs.google.com/spreadsheets/d/1QqKyyYR6Q21VydFLVH3TRQUabQu_ym0Zz7PgGX0-kHA/edit?usp=sharing"",""แผน!EU67"")"),220)</f>
        <v>220</v>
      </c>
      <c r="J374" s="490">
        <f ca="1">J381</f>
        <v>183</v>
      </c>
      <c r="K374" s="491">
        <f t="shared" ca="1" si="163"/>
        <v>83.181818181818187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IFERROR(__xludf.DUMMYFUNCTION("IMPORTRANGE(""https://docs.google.com/spreadsheets/d/1XWAQStnk-4SwqDmLtmXYiTMKHgktTP8We1SCoS47DrQ/edit?usp=sharing"",""จัดที่ดิน!AH67"")"),83)</f>
        <v>83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IFERROR(__xludf.DUMMYFUNCTION("IMPORTRANGE(""https://docs.google.com/spreadsheets/d/1QqKyyYR6Q21VydFLVH3TRQUabQu_ym0Zz7PgGX0-kHA/edit?usp=sharing"",""แผน!ET67"")"),600)</f>
        <v>600</v>
      </c>
      <c r="J378" s="270">
        <f ca="1">IFERROR(__xludf.DUMMYFUNCTION("IMPORTRANGE(""https://docs.google.com/spreadsheets/d/1XWAQStnk-4SwqDmLtmXYiTMKHgktTP8We1SCoS47DrQ/edit?usp=sharing"",""จัดที่ดิน!AI67"")"),471.25)</f>
        <v>471.25</v>
      </c>
      <c r="K378" s="497">
        <f t="shared" ca="1" si="164"/>
        <v>78.541666666666671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IFERROR(__xludf.DUMMYFUNCTION("IMPORTRANGE(""https://docs.google.com/spreadsheets/d/1QqKyyYR6Q21VydFLVH3TRQUabQu_ym0Zz7PgGX0-kHA/edit?usp=sharing"",""แผน!EU67"")"),220)</f>
        <v>220</v>
      </c>
      <c r="J379" s="270">
        <f ca="1">IFERROR(__xludf.DUMMYFUNCTION("IMPORTRANGE(""https://docs.google.com/spreadsheets/d/1XWAQStnk-4SwqDmLtmXYiTMKHgktTP8We1SCoS47DrQ/edit?usp=sharing"",""จัดที่ดิน!AJ67"")"),184)</f>
        <v>184</v>
      </c>
      <c r="K379" s="497">
        <f t="shared" ca="1" si="164"/>
        <v>83.63636363636364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IFERROR(__xludf.DUMMYFUNCTION("IMPORTRANGE(""https://docs.google.com/spreadsheets/d/1XWAQStnk-4SwqDmLtmXYiTMKHgktTP8We1SCoS47DrQ/edit?usp=sharing"",""จัดที่ดิน!AK67"")"),1719.15)</f>
        <v>1719.15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IFERROR(__xludf.DUMMYFUNCTION("IMPORTRANGE(""https://docs.google.com/spreadsheets/d/1QqKyyYR6Q21VydFLVH3TRQUabQu_ym0Zz7PgGX0-kHA/edit?usp=sharing"",""แผน!EU67"")"),220)</f>
        <v>220</v>
      </c>
      <c r="J381" s="270">
        <f ca="1">IFERROR(__xludf.DUMMYFUNCTION("IMPORTRANGE(""https://docs.google.com/spreadsheets/d/1XWAQStnk-4SwqDmLtmXYiTMKHgktTP8We1SCoS47DrQ/edit?usp=sharing"",""จัดที่ดิน!AL67"")"),183)</f>
        <v>183</v>
      </c>
      <c r="K381" s="497">
        <f t="shared" ca="1" si="164"/>
        <v>83.181818181818187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IFERROR(__xludf.DUMMYFUNCTION("IMPORTRANGE(""https://docs.google.com/spreadsheets/d/1XWAQStnk-4SwqDmLtmXYiTMKHgktTP8We1SCoS47DrQ/edit?usp=sharing"",""จัดที่ดิน!AM67"")"),1719.02)</f>
        <v>1719.02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IFERROR(__xludf.DUMMYFUNCTION("IMPORTRANGE(""https://docs.google.com/spreadsheets/d/1QqKyyYR6Q21VydFLVH3TRQUabQu_ym0Zz7PgGX0-kHA/edit?usp=sharing"",""แผน!EW67"")"),10)</f>
        <v>10</v>
      </c>
      <c r="J385" s="501">
        <f ca="1">IFERROR(__xludf.DUMMYFUNCTION("IMPORTRANGE(""https://docs.google.com/spreadsheets/d/1XWAQStnk-4SwqDmLtmXYiTMKHgktTP8We1SCoS47DrQ/edit?usp=sharing"",""จัดที่ดิน!AP67"")"),1)</f>
        <v>1</v>
      </c>
      <c r="K385" s="502">
        <f ca="1">IF(I385&gt;0,J385*100/I385,0)</f>
        <v>10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IFERROR(__xludf.DUMMYFUNCTION("IMPORTRANGE(""https://docs.google.com/spreadsheets/d/1MeEWN-I1oV_STSDYn1IFDPWt_1FKiwhDph83XaGc0o0/edit?usp=sharing"",""งบพรบ!FG67"")"),0)</f>
        <v>0</v>
      </c>
      <c r="M394" s="93">
        <f ca="1">IFERROR(__xludf.DUMMYFUNCTION("IMPORTRANGE(""https://docs.google.com/spreadsheets/d/1MeEWN-I1oV_STSDYn1IFDPWt_1FKiwhDph83XaGc0o0/edit?usp=sharing"",""งบพรบ!FL67"")"),0)</f>
        <v>0</v>
      </c>
      <c r="N394" s="93">
        <f ca="1">IFERROR(__xludf.DUMMYFUNCTION("IMPORTRANGE(""https://docs.google.com/spreadsheets/d/1MeEWN-I1oV_STSDYn1IFDPWt_1FKiwhDph83XaGc0o0/edit?usp=sharing"",""งบพรบ!FN67"")"),0)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IFERROR(__xludf.DUMMYFUNCTION("IMPORTRANGE(""https://docs.google.com/spreadsheets/d/1MeEWN-I1oV_STSDYn1IFDPWt_1FKiwhDph83XaGc0o0/edit?usp=sharing"",""งบพรบ!FJ67"")"),0)</f>
        <v>0</v>
      </c>
      <c r="M397" s="93">
        <f ca="1">IFERROR(__xludf.DUMMYFUNCTION("IMPORTRANGE(""https://docs.google.com/spreadsheets/d/1MeEWN-I1oV_STSDYn1IFDPWt_1FKiwhDph83XaGc0o0/edit?usp=sharing"",""งบพรบ!FM67"")"),0)</f>
        <v>0</v>
      </c>
      <c r="N397" s="93">
        <f ca="1">IFERROR(__xludf.DUMMYFUNCTION("IMPORTRANGE(""https://docs.google.com/spreadsheets/d/1MeEWN-I1oV_STSDYn1IFDPWt_1FKiwhDph83XaGc0o0/edit?usp=sharing"",""งบพรบ!FO67"")"),0)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IFERROR(__xludf.DUMMYFUNCTION("IMPORTRANGE(""https://docs.google.com/spreadsheets/d/1MeEWN-I1oV_STSDYn1IFDPWt_1FKiwhDph83XaGc0o0/edit?usp=sharing"",""งบพรบ!FQ67"")"),0)</f>
        <v>0</v>
      </c>
      <c r="M407" s="93">
        <f ca="1">IFERROR(__xludf.DUMMYFUNCTION("IMPORTRANGE(""https://docs.google.com/spreadsheets/d/1MeEWN-I1oV_STSDYn1IFDPWt_1FKiwhDph83XaGc0o0/edit?usp=sharing"",""งบพรบ!FV67"")"),0)</f>
        <v>0</v>
      </c>
      <c r="N407" s="93">
        <f ca="1">IFERROR(__xludf.DUMMYFUNCTION("IMPORTRANGE(""https://docs.google.com/spreadsheets/d/1MeEWN-I1oV_STSDYn1IFDPWt_1FKiwhDph83XaGc0o0/edit?usp=sharing"",""งบพรบ!FX67"")"),0)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IFERROR(__xludf.DUMMYFUNCTION("IMPORTRANGE(""https://docs.google.com/spreadsheets/d/1MeEWN-I1oV_STSDYn1IFDPWt_1FKiwhDph83XaGc0o0/edit?usp=sharing"",""งบพรบ!FT67"")"),0)</f>
        <v>0</v>
      </c>
      <c r="M410" s="93">
        <f ca="1">IFERROR(__xludf.DUMMYFUNCTION("IMPORTRANGE(""https://docs.google.com/spreadsheets/d/1MeEWN-I1oV_STSDYn1IFDPWt_1FKiwhDph83XaGc0o0/edit?usp=sharing"",""งบพรบ!FW67"")"),0)</f>
        <v>0</v>
      </c>
      <c r="N410" s="93">
        <f ca="1">IFERROR(__xludf.DUMMYFUNCTION("IMPORTRANGE(""https://docs.google.com/spreadsheets/d/1MeEWN-I1oV_STSDYn1IFDPWt_1FKiwhDph83XaGc0o0/edit?usp=sharing"",""งบพรบ!FY67"")"),0)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1464158</v>
      </c>
      <c r="M414" s="549">
        <f t="shared" ca="1" si="181"/>
        <v>1462298</v>
      </c>
      <c r="N414" s="549">
        <f t="shared" si="181"/>
        <v>1007265.75</v>
      </c>
      <c r="O414" s="549">
        <f ca="1">IF(L414&gt;0,N414*100/L414,0)</f>
        <v>68.794880743744869</v>
      </c>
      <c r="P414" s="549">
        <f ca="1">IF(M414&gt;0,N414*100/M414,0)</f>
        <v>68.882385806449847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3</v>
      </c>
      <c r="K418" s="566">
        <f t="shared" ca="1" si="183"/>
        <v>300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95560</v>
      </c>
      <c r="M419" s="155">
        <f t="shared" ca="1" si="184"/>
        <v>93700</v>
      </c>
      <c r="N419" s="155">
        <f t="shared" si="184"/>
        <v>76861.540000000008</v>
      </c>
      <c r="O419" s="155">
        <f t="shared" ref="O419:O424" ca="1" si="185">IF(L419&gt;0,N419*100/L419,0)</f>
        <v>80.432754290498124</v>
      </c>
      <c r="P419" s="155">
        <f t="shared" ref="P419:P424" ca="1" si="186">IF(M419&gt;0,N419*100/M419,0)</f>
        <v>82.029391675560305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95560</v>
      </c>
      <c r="M421" s="93">
        <f t="shared" ca="1" si="187"/>
        <v>93700</v>
      </c>
      <c r="N421" s="93">
        <f t="shared" si="187"/>
        <v>76861.540000000008</v>
      </c>
      <c r="O421" s="93">
        <f t="shared" ca="1" si="185"/>
        <v>80.432754290498124</v>
      </c>
      <c r="P421" s="93">
        <f t="shared" ca="1" si="186"/>
        <v>82.029391675560305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95560</v>
      </c>
      <c r="M422" s="497">
        <f t="shared" ca="1" si="188"/>
        <v>93700</v>
      </c>
      <c r="N422" s="497">
        <f t="shared" si="188"/>
        <v>76861.540000000008</v>
      </c>
      <c r="O422" s="497">
        <f t="shared" ca="1" si="185"/>
        <v>80.432754290498124</v>
      </c>
      <c r="P422" s="497">
        <f t="shared" ca="1" si="186"/>
        <v>82.029391675560305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IFERROR(__xludf.DUMMYFUNCTION("IMPORTRANGE(""https://docs.google.com/spreadsheets/d/1QqKyyYR6Q21VydFLVH3TRQUabQu_ym0Zz7PgGX0-kHA/edit?usp=sharing"",""แผน!EY67"")"),95560)</f>
        <v>95560</v>
      </c>
      <c r="M424" s="93">
        <f ca="1">L424-1860</f>
        <v>93700</v>
      </c>
      <c r="N424" s="93">
        <f>N425+N426+N427+N428</f>
        <v>76861.540000000008</v>
      </c>
      <c r="O424" s="93">
        <f t="shared" ca="1" si="185"/>
        <v>80.432754290498124</v>
      </c>
      <c r="P424" s="93">
        <f t="shared" ca="1" si="186"/>
        <v>82.029391675560305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44000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32861.54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3</v>
      </c>
      <c r="K434" s="195">
        <f t="shared" ca="1" si="192"/>
        <v>300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IFERROR(__xludf.DUMMYFUNCTION("IMPORTRANGE(""https://docs.google.com/spreadsheets/d/1QqKyyYR6Q21VydFLVH3TRQUabQu_ym0Zz7PgGX0-kHA/edit?usp=sharing"",""แผน!FC67"")"),20)</f>
        <v>20</v>
      </c>
      <c r="J435" s="579">
        <v>36</v>
      </c>
      <c r="K435" s="497">
        <f t="shared" ca="1" si="192"/>
        <v>180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IFERROR(__xludf.DUMMYFUNCTION("IMPORTRANGE(""https://docs.google.com/spreadsheets/d/1QqKyyYR6Q21VydFLVH3TRQUabQu_ym0Zz7PgGX0-kHA/edit?usp=sharing"",""แผน!FF67"")"),20)</f>
        <v>20</v>
      </c>
      <c r="J439" s="579">
        <v>36</v>
      </c>
      <c r="K439" s="497">
        <f t="shared" ca="1" si="194"/>
        <v>180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IFERROR(__xludf.DUMMYFUNCTION("IMPORTRANGE(""https://docs.google.com/spreadsheets/d/1QqKyyYR6Q21VydFLVH3TRQUabQu_ym0Zz7PgGX0-kHA/edit?usp=sharing"",""แผน!FG67"")"),1)</f>
        <v>1</v>
      </c>
      <c r="J440" s="215">
        <v>3</v>
      </c>
      <c r="K440" s="497">
        <f t="shared" ca="1" si="194"/>
        <v>300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IFERROR(__xludf.DUMMYFUNCTION("IMPORTRANGE(""https://docs.google.com/spreadsheets/d/1QqKyyYR6Q21VydFLVH3TRQUabQu_ym0Zz7PgGX0-kHA/edit?usp=sharing"",""แผน!FX67"")"),61)</f>
        <v>61</v>
      </c>
      <c r="J465" s="585">
        <f>J485+J489+J492</f>
        <v>63</v>
      </c>
      <c r="K465" s="586">
        <f t="shared" ref="K465:K466" ca="1" si="205">IF(I465&gt;0,J465*100/I465,0)</f>
        <v>103.27868852459017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IFERROR(__xludf.DUMMYFUNCTION("IMPORTRANGE(""https://docs.google.com/spreadsheets/d/1QqKyyYR6Q21VydFLVH3TRQUabQu_ym0Zz7PgGX0-kHA/edit?usp=sharing"",""แผน!FW67"")"),600)</f>
        <v>600</v>
      </c>
      <c r="J466" s="565">
        <f>J495+J498</f>
        <v>600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486543</v>
      </c>
      <c r="M467" s="195">
        <f t="shared" ca="1" si="206"/>
        <v>486543</v>
      </c>
      <c r="N467" s="195">
        <f t="shared" si="206"/>
        <v>470945.08</v>
      </c>
      <c r="O467" s="195">
        <f t="shared" ref="O467:O472" ca="1" si="207">IF(L467&gt;0,N467*100/L467,0)</f>
        <v>96.794133303736771</v>
      </c>
      <c r="P467" s="195">
        <f t="shared" ref="P467:P472" ca="1" si="208">IF(M467&gt;0,N467*100/M467,0)</f>
        <v>96.794133303736771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486543</v>
      </c>
      <c r="M469" s="93">
        <f t="shared" ca="1" si="209"/>
        <v>486543</v>
      </c>
      <c r="N469" s="93">
        <f t="shared" si="209"/>
        <v>470945.08</v>
      </c>
      <c r="O469" s="93">
        <f t="shared" ca="1" si="207"/>
        <v>96.794133303736771</v>
      </c>
      <c r="P469" s="93">
        <f t="shared" ca="1" si="208"/>
        <v>96.794133303736771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486543</v>
      </c>
      <c r="M470" s="497">
        <f t="shared" ca="1" si="210"/>
        <v>486543</v>
      </c>
      <c r="N470" s="497">
        <f t="shared" si="210"/>
        <v>470945.08</v>
      </c>
      <c r="O470" s="497">
        <f t="shared" ca="1" si="207"/>
        <v>96.794133303736771</v>
      </c>
      <c r="P470" s="497">
        <f t="shared" ca="1" si="208"/>
        <v>96.794133303736771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IFERROR(__xludf.DUMMYFUNCTION("IMPORTRANGE(""https://docs.google.com/spreadsheets/d/1QqKyyYR6Q21VydFLVH3TRQUabQu_ym0Zz7PgGX0-kHA/edit?usp=sharing"",""แผน!FS67"")"),486543)</f>
        <v>486543</v>
      </c>
      <c r="M472" s="93">
        <f ca="1">L472</f>
        <v>486543</v>
      </c>
      <c r="N472" s="93">
        <f>N473+N474+N475+N476</f>
        <v>470945.08</v>
      </c>
      <c r="O472" s="93">
        <f t="shared" ca="1" si="207"/>
        <v>96.794133303736771</v>
      </c>
      <c r="P472" s="93">
        <f t="shared" ca="1" si="208"/>
        <v>96.794133303736771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80093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376000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14852.08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IFERROR(__xludf.DUMMYFUNCTION("IMPORTRANGE(""https://docs.google.com/spreadsheets/d/1QqKyyYR6Q21VydFLVH3TRQUabQu_ym0Zz7PgGX0-kHA/edit?usp=sharing"",""แผน!FY67"")"),540)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56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IFERROR(__xludf.DUMMYFUNCTION("IMPORTRANGE(""https://docs.google.com/spreadsheets/d/1QqKyyYR6Q21VydFLVH3TRQUabQu_ym0Zz7PgGX0-kHA/edit?usp=sharing"",""แผน!FZ67"")"),54)</f>
        <v>54</v>
      </c>
      <c r="J485" s="215">
        <v>56</v>
      </c>
      <c r="K485" s="497">
        <f ca="1">IF(I485&gt;0,J485*100/I485,0)</f>
        <v>103.70370370370371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IFERROR(__xludf.DUMMYFUNCTION("IMPORTRANGE(""https://docs.google.com/spreadsheets/d/1QqKyyYR6Q21VydFLVH3TRQUabQu_ym0Zz7PgGX0-kHA/edit?usp=sharing"",""แผน!GA67"")"),60)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6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IFERROR(__xludf.DUMMYFUNCTION("IMPORTRANGE(""https://docs.google.com/spreadsheets/d/1QqKyyYR6Q21VydFLVH3TRQUabQu_ym0Zz7PgGX0-kHA/edit?usp=sharing"",""แผน!GB67"")"),6)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IFERROR(__xludf.DUMMYFUNCTION("IMPORTRANGE(""https://docs.google.com/spreadsheets/d/1QqKyyYR6Q21VydFLVH3TRQUabQu_ym0Zz7PgGX0-kHA/edit?usp=sharing"",""แผน!FY67"")"),540)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540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IFERROR(__xludf.DUMMYFUNCTION("IMPORTRANGE(""https://docs.google.com/spreadsheets/d/1QqKyyYR6Q21VydFLVH3TRQUabQu_ym0Zz7PgGX0-kHA/edit?usp=sharing"",""แผน!GA67"")"),60)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60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255500</v>
      </c>
      <c r="M544" s="155">
        <f t="shared" ca="1" si="236"/>
        <v>255500</v>
      </c>
      <c r="N544" s="155">
        <f t="shared" si="236"/>
        <v>192155.90000000002</v>
      </c>
      <c r="O544" s="155">
        <f t="shared" ref="O544:O549" ca="1" si="237">IF(L544&gt;0,N544*100/L544,0)</f>
        <v>75.207788649706472</v>
      </c>
      <c r="P544" s="155">
        <f t="shared" ref="P544:P549" ca="1" si="238">IF(M544&gt;0,N544*100/M544,0)</f>
        <v>75.207788649706472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255500</v>
      </c>
      <c r="M546" s="93">
        <f t="shared" ca="1" si="240"/>
        <v>255500</v>
      </c>
      <c r="N546" s="93">
        <f t="shared" si="240"/>
        <v>192155.90000000002</v>
      </c>
      <c r="O546" s="93">
        <f t="shared" ca="1" si="237"/>
        <v>75.207788649706472</v>
      </c>
      <c r="P546" s="93">
        <f t="shared" ca="1" si="238"/>
        <v>75.207788649706472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255500</v>
      </c>
      <c r="M547" s="497">
        <f t="shared" ca="1" si="241"/>
        <v>255500</v>
      </c>
      <c r="N547" s="497">
        <f t="shared" si="241"/>
        <v>192155.90000000002</v>
      </c>
      <c r="O547" s="497">
        <f t="shared" ca="1" si="237"/>
        <v>75.207788649706472</v>
      </c>
      <c r="P547" s="497">
        <f t="shared" ca="1" si="238"/>
        <v>75.207788649706472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IFERROR(__xludf.DUMMYFUNCTION("IMPORTRANGE(""https://docs.google.com/spreadsheets/d/1QqKyyYR6Q21VydFLVH3TRQUabQu_ym0Zz7PgGX0-kHA/edit?usp=sharing"",""แผน!HB67"")"),255500)</f>
        <v>255500</v>
      </c>
      <c r="M549" s="93">
        <f ca="1">L549</f>
        <v>255500</v>
      </c>
      <c r="N549" s="93">
        <f>N550+N551+N552+N553+N554</f>
        <v>192155.90000000002</v>
      </c>
      <c r="O549" s="93">
        <f t="shared" ca="1" si="237"/>
        <v>75.207788649706472</v>
      </c>
      <c r="P549" s="93">
        <f t="shared" ca="1" si="238"/>
        <v>75.207788649706472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89266.240000000005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102889.66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3492.21</v>
      </c>
      <c r="J592" s="703">
        <f t="shared" si="253"/>
        <v>2005</v>
      </c>
      <c r="K592" s="672">
        <f t="shared" ref="K592:K594" ca="1" si="254">IF(I592&gt;0,J592*100/I592,0)</f>
        <v>57.413500333599643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IFERROR(__xludf.DUMMYFUNCTION("IMPORTRANGE(""https://docs.google.com/spreadsheets/d/1QqKyyYR6Q21VydFLVH3TRQUabQu_ym0Zz7PgGX0-kHA/edit?usp=sharing"",""แผน!HJ67"")"),3492.21)</f>
        <v>3492.21</v>
      </c>
      <c r="J593" s="193">
        <f t="shared" ref="J593:J594" si="255">J595+J603+J609</f>
        <v>2005</v>
      </c>
      <c r="K593" s="411">
        <f t="shared" ca="1" si="254"/>
        <v>57.413500333599643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IFERROR(__xludf.DUMMYFUNCTION("IMPORTRANGE(""https://docs.google.com/spreadsheets/d/1QqKyyYR6Q21VydFLVH3TRQUabQu_ym0Zz7PgGX0-kHA/edit?usp=sharing"",""แผน!HI67"")"),145)</f>
        <v>145</v>
      </c>
      <c r="J594" s="193">
        <f t="shared" si="255"/>
        <v>72</v>
      </c>
      <c r="K594" s="411">
        <f t="shared" ca="1" si="254"/>
        <v>49.655172413793103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1858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66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383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1475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50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63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2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147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6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147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400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619055</v>
      </c>
      <c r="M629" s="195">
        <f t="shared" ca="1" si="263"/>
        <v>619055</v>
      </c>
      <c r="N629" s="195">
        <f t="shared" si="263"/>
        <v>263832.11</v>
      </c>
      <c r="O629" s="195">
        <f t="shared" ref="O629:O634" ca="1" si="264">IF(L629&gt;0,N629*100/L629,0)</f>
        <v>42.618525009894114</v>
      </c>
      <c r="P629" s="195">
        <f t="shared" ref="P629:P634" ca="1" si="265">IF(M629&gt;0,N629*100/M629,0)</f>
        <v>42.618525009894114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619055</v>
      </c>
      <c r="M631" s="93">
        <f t="shared" ca="1" si="266"/>
        <v>619055</v>
      </c>
      <c r="N631" s="93">
        <f t="shared" si="266"/>
        <v>263832.11</v>
      </c>
      <c r="O631" s="93">
        <f t="shared" ca="1" si="264"/>
        <v>42.618525009894114</v>
      </c>
      <c r="P631" s="93">
        <f t="shared" ca="1" si="265"/>
        <v>42.618525009894114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619055</v>
      </c>
      <c r="M632" s="497">
        <f t="shared" ca="1" si="267"/>
        <v>619055</v>
      </c>
      <c r="N632" s="497">
        <f t="shared" si="267"/>
        <v>263832.11</v>
      </c>
      <c r="O632" s="497">
        <f t="shared" ca="1" si="264"/>
        <v>42.618525009894114</v>
      </c>
      <c r="P632" s="497">
        <f t="shared" ca="1" si="265"/>
        <v>42.618525009894114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IFERROR(__xludf.DUMMYFUNCTION("IMPORTRANGE(""https://docs.google.com/spreadsheets/d/1QqKyyYR6Q21VydFLVH3TRQUabQu_ym0Zz7PgGX0-kHA/edit?usp=sharing"",""แผน!HN67"")"),619055)</f>
        <v>619055</v>
      </c>
      <c r="M634" s="93">
        <f ca="1">L634</f>
        <v>619055</v>
      </c>
      <c r="N634" s="93">
        <f>N635+N636+N637+N638</f>
        <v>263832.11</v>
      </c>
      <c r="O634" s="93">
        <f t="shared" ca="1" si="264"/>
        <v>42.618525009894114</v>
      </c>
      <c r="P634" s="93">
        <f t="shared" ca="1" si="265"/>
        <v>42.618525009894114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90133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173699.11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IFERROR(__xludf.DUMMYFUNCTION("IMPORTRANGE(""https://docs.google.com/spreadsheets/d/1QqKyyYR6Q21VydFLVH3TRQUabQu_ym0Zz7PgGX0-kHA/edit?usp=sharing"",""แผน!HR67"")"),7)</f>
        <v>7</v>
      </c>
      <c r="J643" s="215">
        <v>7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IFERROR(__xludf.DUMMYFUNCTION("IMPORTRANGE(""https://docs.google.com/spreadsheets/d/1QqKyyYR6Q21VydFLVH3TRQUabQu_ym0Zz7PgGX0-kHA/edit?usp=sharing"",""แผน!HR67"")"),7)</f>
        <v>7</v>
      </c>
      <c r="J644" s="215">
        <v>6</v>
      </c>
      <c r="K644" s="163">
        <f t="shared" ca="1" si="271"/>
        <v>85.714285714285708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IFERROR(__xludf.DUMMYFUNCTION("IMPORTRANGE(""https://docs.google.com/spreadsheets/d/1XWAQStnk-4SwqDmLtmXYiTMKHgktTP8We1SCoS47DrQ/edit?usp=sharing"",""จัดที่ดิน!AS67"")"),0)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IFERROR(__xludf.DUMMYFUNCTION("IMPORTRANGE(""https://docs.google.com/spreadsheets/d/1XWAQStnk-4SwqDmLtmXYiTMKHgktTP8We1SCoS47DrQ/edit?usp=sharing"",""จัดที่ดิน!AT67"")"),0)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IFERROR(__xludf.DUMMYFUNCTION("IMPORTRANGE(""https://docs.google.com/spreadsheets/d/1QqKyyYR6Q21VydFLVH3TRQUabQu_ym0Zz7PgGX0-kHA/edit?usp=sharing"",""แผน!HS67"")"),400)</f>
        <v>400</v>
      </c>
      <c r="J647" s="270">
        <f ca="1">IFERROR(__xludf.DUMMYFUNCTION("IMPORTRANGE(""https://docs.google.com/spreadsheets/d/1XWAQStnk-4SwqDmLtmXYiTMKHgktTP8We1SCoS47DrQ/edit?usp=sharing"",""จัดที่ดิน!AU67"")"),0)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IFERROR(__xludf.DUMMYFUNCTION("IMPORTRANGE(""https://docs.google.com/spreadsheets/d/1XWAQStnk-4SwqDmLtmXYiTMKHgktTP8We1SCoS47DrQ/edit?usp=sharing"",""จัดที่ดิน!AV67"")"),0)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IFERROR(__xludf.DUMMYFUNCTION("IMPORTRANGE(""https://docs.google.com/spreadsheets/d/1QqKyyYR6Q21VydFLVH3TRQUabQu_ym0Zz7PgGX0-kHA/edit?usp=sharing"",""แผน!HS67"")"),400)</f>
        <v>400</v>
      </c>
      <c r="J649" s="270">
        <f ca="1">IFERROR(__xludf.DUMMYFUNCTION("IMPORTRANGE(""https://docs.google.com/spreadsheets/d/1XWAQStnk-4SwqDmLtmXYiTMKHgktTP8We1SCoS47DrQ/edit?usp=sharing"",""จัดที่ดิน!AW67"")"),0)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IFERROR(__xludf.DUMMYFUNCTION("IMPORTRANGE(""https://docs.google.com/spreadsheets/d/1XWAQStnk-4SwqDmLtmXYiTMKHgktTP8We1SCoS47DrQ/edit?usp=sharing"",""จัดที่ดิน!AX67"")"),0)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IFERROR(__xludf.DUMMYFUNCTION("IMPORTRANGE(""https://docs.google.com/spreadsheets/d/1QqKyyYR6Q21VydFLVH3TRQUabQu_ym0Zz7PgGX0-kHA/edit?usp=sharing"",""แผน!HS67"")"),400)</f>
        <v>400</v>
      </c>
      <c r="J651" s="270">
        <f ca="1">IFERROR(__xludf.DUMMYFUNCTION("IMPORTRANGE(""https://docs.google.com/spreadsheets/d/1XWAQStnk-4SwqDmLtmXYiTMKHgktTP8We1SCoS47DrQ/edit?usp=sharing"",""จัดที่ดิน!AY67"")"),0)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IFERROR(__xludf.DUMMYFUNCTION("IMPORTRANGE(""https://docs.google.com/spreadsheets/d/1QqKyyYR6Q21VydFLVH3TRQUabQu_ym0Zz7PgGX0-kHA/edit?usp=sharing"",""แผน!IA67"")"),0)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7500</v>
      </c>
      <c r="M685" s="195">
        <f t="shared" ca="1" si="282"/>
        <v>7500</v>
      </c>
      <c r="N685" s="195">
        <f t="shared" si="282"/>
        <v>3471.12</v>
      </c>
      <c r="O685" s="195">
        <f t="shared" ref="O685:O688" ca="1" si="283">IF(L685&gt;0,N685*100/L685,0)</f>
        <v>46.281599999999997</v>
      </c>
      <c r="P685" s="195">
        <f t="shared" ref="P685:P688" ca="1" si="284">IF(M685&gt;0,N685*100/M685,0)</f>
        <v>46.281599999999997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7500</v>
      </c>
      <c r="M687" s="93">
        <f t="shared" ca="1" si="285"/>
        <v>7500</v>
      </c>
      <c r="N687" s="93">
        <f t="shared" si="285"/>
        <v>3471.12</v>
      </c>
      <c r="O687" s="93">
        <f t="shared" ca="1" si="283"/>
        <v>46.281599999999997</v>
      </c>
      <c r="P687" s="93">
        <f t="shared" ca="1" si="284"/>
        <v>46.281599999999997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7500</v>
      </c>
      <c r="M688" s="497">
        <f t="shared" ca="1" si="286"/>
        <v>7500</v>
      </c>
      <c r="N688" s="497">
        <f t="shared" si="286"/>
        <v>3471.12</v>
      </c>
      <c r="O688" s="497">
        <f t="shared" ca="1" si="283"/>
        <v>46.281599999999997</v>
      </c>
      <c r="P688" s="497">
        <f t="shared" ca="1" si="284"/>
        <v>46.281599999999997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IFERROR(__xludf.DUMMYFUNCTION("IMPORTRANGE(""https://docs.google.com/spreadsheets/d/1QqKyyYR6Q21VydFLVH3TRQUabQu_ym0Zz7PgGX0-kHA/edit?usp=sharing"",""แผน!HW67"")"),7500)</f>
        <v>7500</v>
      </c>
      <c r="M690" s="93">
        <f ca="1">L690</f>
        <v>7500</v>
      </c>
      <c r="N690" s="93">
        <f>N691+N692+N693+N694</f>
        <v>3471.12</v>
      </c>
      <c r="O690" s="93">
        <f ca="1">IF(L690&gt;0,N690*100/L690,0)</f>
        <v>46.281599999999997</v>
      </c>
      <c r="P690" s="93">
        <f ca="1">IF(M690&gt;0,N690*100/M690,0)</f>
        <v>46.281599999999997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3471.12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IFERROR(__xludf.DUMMYFUNCTION("IMPORTRANGE(""https://docs.google.com/spreadsheets/d/1QqKyyYR6Q21VydFLVH3TRQUabQu_ym0Zz7PgGX0-kHA/edit?usp=sharing"",""แผน!IC67"")"),50)</f>
        <v>50</v>
      </c>
      <c r="J699" s="270">
        <f ca="1">IFERROR(__xludf.DUMMYFUNCTION("IMPORTRANGE(""https://docs.google.com/spreadsheets/d/1XWAQStnk-4SwqDmLtmXYiTMKHgktTP8We1SCoS47DrQ/edit?usp=sharing"",""จัดที่ดิน!BB67"")"),0)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IFERROR(__xludf.DUMMYFUNCTION("IMPORTRANGE(""https://docs.google.com/spreadsheets/d/1QqKyyYR6Q21VydFLVH3TRQUabQu_ym0Zz7PgGX0-kHA/edit?usp=sharing"",""แผน!ID67"")"),2)</f>
        <v>2</v>
      </c>
      <c r="J700" s="270">
        <f ca="1">IFERROR(__xludf.DUMMYFUNCTION("IMPORTRANGE(""https://docs.google.com/spreadsheets/d/1XWAQStnk-4SwqDmLtmXYiTMKHgktTP8We1SCoS47DrQ/edit?usp=sharing"",""จัดที่ดิน!BD67"")"),0)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IFERROR(__xludf.DUMMYFUNCTION("IMPORTRANGE(""https://docs.google.com/spreadsheets/d/1QqKyyYR6Q21VydFLVH3TRQUabQu_ym0Zz7PgGX0-kHA/edit?usp=sharing"",""แผน!IE67"")"),12)</f>
        <v>12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IFERROR(__xludf.DUMMYFUNCTION("IMPORTRANGE(""https://docs.google.com/spreadsheets/d/1QqKyyYR6Q21VydFLVH3TRQUabQu_ym0Zz7PgGX0-kHA/edit?usp=sharing"",""แผน!IF67"")"),12)</f>
        <v>12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IFERROR(__xludf.DUMMYFUNCTION("IMPORTRANGE(""https://docs.google.com/spreadsheets/d/1QqKyyYR6Q21VydFLVH3TRQUabQu_ym0Zz7PgGX0-kHA/edit?usp=sharing"",""แผน!IG67"")"),0)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IFERROR(__xludf.DUMMYFUNCTION("IMPORTRANGE(""https://docs.google.com/spreadsheets/d/1QqKyyYR6Q21VydFLVH3TRQUabQu_ym0Zz7PgGX0-kHA/edit?usp=sharing"",""แผน!IH67"")"),0)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IFERROR(__xludf.DUMMYFUNCTION("IMPORTRANGE(""https://docs.google.com/spreadsheets/d/1QqKyyYR6Q21VydFLVH3TRQUabQu_ym0Zz7PgGX0-kHA/edit?usp=sharing"",""แผน!II67"")"),30)</f>
        <v>30</v>
      </c>
      <c r="J720" s="270">
        <f ca="1">IFERROR(__xludf.DUMMYFUNCTION("IMPORTRANGE(""https://docs.google.com/spreadsheets/d/1XWAQStnk-4SwqDmLtmXYiTMKHgktTP8We1SCoS47DrQ/edit?usp=sharing"",""จัดที่ดิน!BH67"")"),0)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IFERROR(__xludf.DUMMYFUNCTION("IMPORTRANGE(""https://docs.google.com/spreadsheets/d/1QqKyyYR6Q21VydFLVH3TRQUabQu_ym0Zz7PgGX0-kHA/edit?usp=sharing"",""แผน!IJ67"")"),1)</f>
        <v>1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IFERROR(__xludf.DUMMYFUNCTION("IMPORTRANGE(""https://docs.google.com/spreadsheets/d/1QqKyyYR6Q21VydFLVH3TRQUabQu_ym0Zz7PgGX0-kHA/edit?usp=sharing"",""แผน!IK67"")"),10)</f>
        <v>10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IFERROR(__xludf.DUMMYFUNCTION("IMPORTRANGE(""https://docs.google.com/spreadsheets/d/1QqKyyYR6Q21VydFLVH3TRQUabQu_ym0Zz7PgGX0-kHA/edit?usp=sharing"",""แผน!IL67"")"),1)</f>
        <v>1</v>
      </c>
      <c r="J723" s="270">
        <f ca="1">IFERROR(__xludf.DUMMYFUNCTION("IMPORTRANGE(""https://docs.google.com/spreadsheets/d/1XWAQStnk-4SwqDmLtmXYiTMKHgktTP8We1SCoS47DrQ/edit?usp=sharing"",""จัดที่ดิน!BM67"")"),0)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IFERROR(__xludf.DUMMYFUNCTION("IMPORTRANGE(""https://docs.google.com/spreadsheets/d/1XWAQStnk-4SwqDmLtmXYiTMKHgktTP8We1SCoS47DrQ/edit?usp=sharing"",""จัดที่ดิน!BN67"")"),0)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IFERROR(__xludf.DUMMYFUNCTION("IMPORTRANGE(""https://docs.google.com/spreadsheets/d/1QqKyyYR6Q21VydFLVH3TRQUabQu_ym0Zz7PgGX0-kHA/edit?usp=sharing"",""แผน!IM67"")"),10)</f>
        <v>10</v>
      </c>
      <c r="J725" s="270">
        <f ca="1">IFERROR(__xludf.DUMMYFUNCTION("IMPORTRANGE(""https://docs.google.com/spreadsheets/d/1XWAQStnk-4SwqDmLtmXYiTMKHgktTP8We1SCoS47DrQ/edit?usp=sharing"",""จัดที่ดิน!BO67"")"),0)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IFERROR(__xludf.DUMMYFUNCTION("IMPORTRANGE(""https://docs.google.com/spreadsheets/d/1QqKyyYR6Q21VydFLVH3TRQUabQu_ym0Zz7PgGX0-kHA/edit?usp=sharing"",""แผน!IN67"")"),0)</f>
        <v>0</v>
      </c>
      <c r="J726" s="270">
        <f ca="1">IFERROR(__xludf.DUMMYFUNCTION("IMPORTRANGE(""https://docs.google.com/spreadsheets/d/1XWAQStnk-4SwqDmLtmXYiTMKHgktTP8We1SCoS47DrQ/edit?usp=sharing"",""จัดที่ดิน!BR67"")"),0)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IFERROR(__xludf.DUMMYFUNCTION("IMPORTRANGE(""https://docs.google.com/spreadsheets/d/1QqKyyYR6Q21VydFLVH3TRQUabQu_ym0Zz7PgGX0-kHA/edit?usp=sharing"",""แผน!IO67"")"),0)</f>
        <v>0</v>
      </c>
      <c r="J728" s="270">
        <f ca="1">IFERROR(__xludf.DUMMYFUNCTION("IMPORTRANGE(""https://docs.google.com/spreadsheets/d/1XWAQStnk-4SwqDmLtmXYiTMKHgktTP8We1SCoS47DrQ/edit?usp=sharing"",""จัดที่ดิน!BT67"")"),0)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IFERROR(__xludf.DUMMYFUNCTION("IMPORTRANGE(""https://docs.google.com/spreadsheets/d/1QqKyyYR6Q21VydFLVH3TRQUabQu_ym0Zz7PgGX0-kHA/edit?usp=sharing"",""แผน!JN67"")"),0)</f>
        <v>0</v>
      </c>
      <c r="J800" s="184">
        <f ca="1">IFERROR(__xludf.DUMMYFUNCTION("IMPORTRANGE(""https://docs.google.com/spreadsheets/d/1MaWodYyGHDf7siQLGxnXhG4mBNTNIuy296niS2xXulU/edit?usp=sharing"",""RTK!H67"")"),0)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70">
        <f ca="1">IFERROR(__xludf.DUMMYFUNCTION("IMPORTRANGE(""https://docs.google.com/spreadsheets/d/19vJNZY_5yjcGF2XGBMNZRCAIB0Kwfpjp8YEOfu-bneM/edit?usp=sharing"",""งานกองทุน!F67"")"),1088321.87)</f>
        <v>1088321.8700000001</v>
      </c>
      <c r="K821" s="497">
        <f t="shared" ref="K821:K828" ca="1" si="335">IF(I821&gt;0,J821*100/I821,0)</f>
        <v>68.759309100280063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IFERROR(__xludf.DUMMYFUNCTION("IMPORTRANGE(""https://docs.google.com/spreadsheets/d/19vJNZY_5yjcGF2XGBMNZRCAIB0Kwfpjp8YEOfu-bneM/edit?usp=sharing"",""งานกองทุน!C67"")"),106)</f>
        <v>106</v>
      </c>
      <c r="J822" s="270">
        <f ca="1">IFERROR(__xludf.DUMMYFUNCTION("IMPORTRANGE(""https://docs.google.com/spreadsheets/d/19vJNZY_5yjcGF2XGBMNZRCAIB0Kwfpjp8YEOfu-bneM/edit?usp=sharing"",""งานกองทุน!E67"")"),82)</f>
        <v>82</v>
      </c>
      <c r="K822" s="497">
        <f t="shared" ca="1" si="335"/>
        <v>77.35849056603773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70">
        <f ca="1">IFERROR(__xludf.DUMMYFUNCTION("IMPORTRANGE(""https://docs.google.com/spreadsheets/d/19vJNZY_5yjcGF2XGBMNZRCAIB0Kwfpjp8YEOfu-bneM/edit?usp=sharing"",""งานกองทุน!K67"")"),758495.3)</f>
        <v>758495.3</v>
      </c>
      <c r="K823" s="497">
        <f t="shared" ca="1" si="335"/>
        <v>20.736341354804971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IFERROR(__xludf.DUMMYFUNCTION("IMPORTRANGE(""https://docs.google.com/spreadsheets/d/19vJNZY_5yjcGF2XGBMNZRCAIB0Kwfpjp8YEOfu-bneM/edit?usp=sharing"",""งานกองทุน!H67"")"),184)</f>
        <v>184</v>
      </c>
      <c r="J824" s="270">
        <f ca="1">IFERROR(__xludf.DUMMYFUNCTION("IMPORTRANGE(""https://docs.google.com/spreadsheets/d/19vJNZY_5yjcGF2XGBMNZRCAIB0Kwfpjp8YEOfu-bneM/edit?usp=sharing"",""งานกองทุน!J67"")"),105)</f>
        <v>105</v>
      </c>
      <c r="K824" s="497">
        <f t="shared" ca="1" si="335"/>
        <v>57.065217391304351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70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497">
        <f t="shared" ca="1" si="335"/>
        <v>38.506188135067781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IFERROR(__xludf.DUMMYFUNCTION("IMPORTRANGE(""https://docs.google.com/spreadsheets/d/19vJNZY_5yjcGF2XGBMNZRCAIB0Kwfpjp8YEOfu-bneM/edit?usp=sharing"",""งานกองทุน!M67"")"),12)</f>
        <v>12</v>
      </c>
      <c r="J826" s="270">
        <f ca="1">IFERROR(__xludf.DUMMYFUNCTION("IMPORTRANGE(""https://docs.google.com/spreadsheets/d/19vJNZY_5yjcGF2XGBMNZRCAIB0Kwfpjp8YEOfu-bneM/edit?usp=sharing"",""งานกองทุน!O67"")"),7)</f>
        <v>7</v>
      </c>
      <c r="K826" s="497">
        <f t="shared" ca="1" si="335"/>
        <v>58.333333333333336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IFERROR(__xludf.DUMMYFUNCTION("IMPORTRANGE(""https://docs.google.com/spreadsheets/d/19vJNZY_5yjcGF2XGBMNZRCAIB0Kwfpjp8YEOfu-bneM/edit?usp=sharing"",""งานกองทุน!S67"")"),2580000)</f>
        <v>2580000</v>
      </c>
      <c r="J827" s="270">
        <f ca="1">IFERROR(__xludf.DUMMYFUNCTION("IMPORTRANGE(""https://docs.google.com/spreadsheets/d/19vJNZY_5yjcGF2XGBMNZRCAIB0Kwfpjp8YEOfu-bneM/edit?usp=sharing"",""งานกองทุน!U67"")"),1460000)</f>
        <v>1460000</v>
      </c>
      <c r="K827" s="497">
        <f t="shared" ca="1" si="335"/>
        <v>56.589147286821706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IFERROR(__xludf.DUMMYFUNCTION("IMPORTRANGE(""https://docs.google.com/spreadsheets/d/19vJNZY_5yjcGF2XGBMNZRCAIB0Kwfpjp8YEOfu-bneM/edit?usp=sharing"",""งานกองทุน!R67"")"),103)</f>
        <v>103</v>
      </c>
      <c r="J828" s="501">
        <f ca="1">IFERROR(__xludf.DUMMYFUNCTION("IMPORTRANGE(""https://docs.google.com/spreadsheets/d/19vJNZY_5yjcGF2XGBMNZRCAIB0Kwfpjp8YEOfu-bneM/edit?usp=sharing"",""งานกองทุน!T67"")"),46)</f>
        <v>46</v>
      </c>
      <c r="K828" s="502">
        <f t="shared" ca="1" si="335"/>
        <v>44.660194174757279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DF3F-B521-4D27-8296-194D7DEE492F}">
  <sheetPr codeName="Sheet17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7763440</v>
      </c>
      <c r="M8" s="22">
        <f t="shared" ca="1" si="0"/>
        <v>7785300</v>
      </c>
      <c r="N8" s="22">
        <f t="shared" ca="1" si="0"/>
        <v>4772088.7</v>
      </c>
      <c r="O8" s="22">
        <f t="shared" ref="O8:O16" ca="1" si="1">IF(L8&gt;0,N8*100/L8,0)</f>
        <v>61.468739373267518</v>
      </c>
      <c r="P8" s="22">
        <f t="shared" ref="P8:P16" ca="1" si="2">IF(M8&gt;0,N8*100/M8,0)</f>
        <v>61.296144015002632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7763440</v>
      </c>
      <c r="M10" s="30">
        <f t="shared" ca="1" si="3"/>
        <v>7785300</v>
      </c>
      <c r="N10" s="30">
        <f t="shared" ca="1" si="3"/>
        <v>4772088.7</v>
      </c>
      <c r="O10" s="30">
        <f t="shared" ca="1" si="1"/>
        <v>61.468739373267518</v>
      </c>
      <c r="P10" s="30">
        <f t="shared" ca="1" si="2"/>
        <v>61.296144015002632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7710640</v>
      </c>
      <c r="M11" s="497">
        <f t="shared" ca="1" si="4"/>
        <v>7732500</v>
      </c>
      <c r="N11" s="497">
        <f t="shared" ca="1" si="4"/>
        <v>4719288.7</v>
      </c>
      <c r="O11" s="497">
        <f t="shared" ca="1" si="1"/>
        <v>61.20488960708839</v>
      </c>
      <c r="P11" s="497">
        <f t="shared" ca="1" si="2"/>
        <v>61.031861623019722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7710640</v>
      </c>
      <c r="M13" s="93">
        <f t="shared" ca="1" si="5"/>
        <v>7732500</v>
      </c>
      <c r="N13" s="93">
        <f t="shared" ca="1" si="5"/>
        <v>4719288.7</v>
      </c>
      <c r="O13" s="93">
        <f t="shared" ca="1" si="1"/>
        <v>61.20488960708839</v>
      </c>
      <c r="P13" s="93">
        <f t="shared" ca="1" si="2"/>
        <v>61.031861623019722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52800</v>
      </c>
      <c r="N14" s="497">
        <f t="shared" ca="1" si="6"/>
        <v>52800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52800</v>
      </c>
      <c r="N16" s="52">
        <f t="shared" ca="1" si="7"/>
        <v>52800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5225200</v>
      </c>
      <c r="M18" s="22">
        <f t="shared" ca="1" si="8"/>
        <v>5255160</v>
      </c>
      <c r="N18" s="22">
        <f t="shared" ca="1" si="8"/>
        <v>3804321.1100000003</v>
      </c>
      <c r="O18" s="22">
        <f t="shared" ref="O18:O26" ca="1" si="9">IF(L18&gt;0,N18*100/L18,0)</f>
        <v>72.807186519176312</v>
      </c>
      <c r="P18" s="22">
        <f t="shared" ref="P18:P26" ca="1" si="10">IF(M18&gt;0,N18*100/M18,0)</f>
        <v>72.392108137525796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5225200</v>
      </c>
      <c r="M20" s="30">
        <f t="shared" ca="1" si="11"/>
        <v>5255160</v>
      </c>
      <c r="N20" s="30">
        <f t="shared" ca="1" si="11"/>
        <v>3804321.1100000003</v>
      </c>
      <c r="O20" s="30">
        <f t="shared" ca="1" si="9"/>
        <v>72.807186519176312</v>
      </c>
      <c r="P20" s="30">
        <f t="shared" ca="1" si="10"/>
        <v>72.392108137525796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5172400</v>
      </c>
      <c r="M21" s="497">
        <f t="shared" ca="1" si="12"/>
        <v>5202360</v>
      </c>
      <c r="N21" s="497">
        <f t="shared" ca="1" si="12"/>
        <v>3751521.1100000003</v>
      </c>
      <c r="O21" s="497">
        <f t="shared" ca="1" si="9"/>
        <v>72.529601538937442</v>
      </c>
      <c r="P21" s="497">
        <f t="shared" ca="1" si="10"/>
        <v>72.111909018214817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5172400</v>
      </c>
      <c r="M23" s="93">
        <f t="shared" ca="1" si="13"/>
        <v>5202360</v>
      </c>
      <c r="N23" s="93">
        <f t="shared" ca="1" si="13"/>
        <v>3751521.1100000003</v>
      </c>
      <c r="O23" s="93">
        <f t="shared" ca="1" si="9"/>
        <v>72.529601538937442</v>
      </c>
      <c r="P23" s="93">
        <f t="shared" ca="1" si="10"/>
        <v>72.111909018214817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52800</v>
      </c>
      <c r="N24" s="497">
        <f t="shared" ca="1" si="14"/>
        <v>52800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52800</v>
      </c>
      <c r="N26" s="52">
        <f t="shared" ca="1" si="15"/>
        <v>52800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2538240</v>
      </c>
      <c r="M28" s="22">
        <f t="shared" ca="1" si="16"/>
        <v>2530140</v>
      </c>
      <c r="N28" s="22">
        <f t="shared" si="16"/>
        <v>967767.59</v>
      </c>
      <c r="O28" s="22">
        <f t="shared" ref="O28:O37" ca="1" si="17">IF(L28&gt;0,N28*100/L28,0)</f>
        <v>38.127505279248616</v>
      </c>
      <c r="P28" s="22">
        <f t="shared" ref="P28:P37" ca="1" si="18">IF(M28&gt;0,N28*100/M28,0)</f>
        <v>38.249566822389276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2538240</v>
      </c>
      <c r="M30" s="30">
        <f t="shared" ca="1" si="19"/>
        <v>2530140</v>
      </c>
      <c r="N30" s="30">
        <f t="shared" si="19"/>
        <v>967767.59</v>
      </c>
      <c r="O30" s="30">
        <f t="shared" ca="1" si="17"/>
        <v>38.127505279248616</v>
      </c>
      <c r="P30" s="30">
        <f t="shared" ca="1" si="18"/>
        <v>38.249566822389276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2538240</v>
      </c>
      <c r="M31" s="497">
        <f t="shared" ca="1" si="20"/>
        <v>2530140</v>
      </c>
      <c r="N31" s="497">
        <f t="shared" si="20"/>
        <v>967767.59</v>
      </c>
      <c r="O31" s="497">
        <f t="shared" ca="1" si="17"/>
        <v>38.127505279248616</v>
      </c>
      <c r="P31" s="497">
        <f t="shared" ca="1" si="18"/>
        <v>38.249566822389276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2538240</v>
      </c>
      <c r="M33" s="93">
        <f t="shared" ca="1" si="21"/>
        <v>2530140</v>
      </c>
      <c r="N33" s="93">
        <f t="shared" si="21"/>
        <v>967767.59</v>
      </c>
      <c r="O33" s="93">
        <f t="shared" ca="1" si="17"/>
        <v>38.127505279248616</v>
      </c>
      <c r="P33" s="93">
        <f t="shared" ca="1" si="18"/>
        <v>38.249566822389276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5225200</v>
      </c>
      <c r="M37" s="59">
        <f t="shared" ca="1" si="24"/>
        <v>5255160</v>
      </c>
      <c r="N37" s="59">
        <f t="shared" ca="1" si="24"/>
        <v>3804321.1100000003</v>
      </c>
      <c r="O37" s="59">
        <f t="shared" ca="1" si="17"/>
        <v>72.807186519176312</v>
      </c>
      <c r="P37" s="59">
        <f t="shared" ca="1" si="18"/>
        <v>72.392108137525796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657500</v>
      </c>
      <c r="M41" s="85">
        <f t="shared" ca="1" si="25"/>
        <v>671720</v>
      </c>
      <c r="N41" s="85">
        <f t="shared" ca="1" si="25"/>
        <v>502850</v>
      </c>
      <c r="O41" s="85">
        <f t="shared" ref="O41:O49" ca="1" si="26">IF(L41&gt;0,N41*100/L41,0)</f>
        <v>76.479087452471489</v>
      </c>
      <c r="P41" s="85">
        <f t="shared" ref="P41:P49" ca="1" si="27">IF(M41&gt;0,N41*100/M41,0)</f>
        <v>74.860060739593877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657500</v>
      </c>
      <c r="M43" s="92">
        <f t="shared" ca="1" si="28"/>
        <v>671720</v>
      </c>
      <c r="N43" s="92">
        <f t="shared" ca="1" si="28"/>
        <v>502850</v>
      </c>
      <c r="O43" s="92">
        <f t="shared" ca="1" si="26"/>
        <v>76.479087452471489</v>
      </c>
      <c r="P43" s="92">
        <f t="shared" ca="1" si="27"/>
        <v>74.860060739593877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657500</v>
      </c>
      <c r="M44" s="497">
        <f t="shared" ca="1" si="29"/>
        <v>671720</v>
      </c>
      <c r="N44" s="497">
        <f t="shared" ca="1" si="29"/>
        <v>502850</v>
      </c>
      <c r="O44" s="497">
        <f t="shared" ca="1" si="26"/>
        <v>76.479087452471489</v>
      </c>
      <c r="P44" s="497">
        <f t="shared" ca="1" si="27"/>
        <v>74.860060739593877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IFERROR(__xludf.DUMMYFUNCTION("IMPORTRANGE(""https://docs.google.com/spreadsheets/d/1MeEWN-I1oV_STSDYn1IFDPWt_1FKiwhDph83XaGc0o0/edit?usp=sharing"",""งบพรบ!M68"")"),657500)</f>
        <v>657500</v>
      </c>
      <c r="M46" s="93">
        <f ca="1">IFERROR(__xludf.DUMMYFUNCTION("IMPORTRANGE(""https://docs.google.com/spreadsheets/d/1MeEWN-I1oV_STSDYn1IFDPWt_1FKiwhDph83XaGc0o0/edit?usp=sharing"",""งบพรบ!R68"")"),671720)</f>
        <v>671720</v>
      </c>
      <c r="N46" s="93">
        <f ca="1">IFERROR(__xludf.DUMMYFUNCTION("IMPORTRANGE(""https://docs.google.com/spreadsheets/d/1MeEWN-I1oV_STSDYn1IFDPWt_1FKiwhDph83XaGc0o0/edit?usp=sharing"",""งบพรบ!T68"")"),502850)</f>
        <v>502850</v>
      </c>
      <c r="O46" s="93">
        <f t="shared" ca="1" si="26"/>
        <v>76.479087452471489</v>
      </c>
      <c r="P46" s="93">
        <f t="shared" ca="1" si="27"/>
        <v>74.860060739593877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IFERROR(__xludf.DUMMYFUNCTION("IMPORTRANGE(""https://docs.google.com/spreadsheets/d/1MeEWN-I1oV_STSDYn1IFDPWt_1FKiwhDph83XaGc0o0/edit?usp=sharing"",""งบพรบ!P68"")"),0)</f>
        <v>0</v>
      </c>
      <c r="M49" s="52">
        <f ca="1">IFERROR(__xludf.DUMMYFUNCTION("IMPORTRANGE(""https://docs.google.com/spreadsheets/d/1MeEWN-I1oV_STSDYn1IFDPWt_1FKiwhDph83XaGc0o0/edit?usp=sharing"",""งบพรบ!S68"")"),0)</f>
        <v>0</v>
      </c>
      <c r="N49" s="52">
        <f ca="1">IFERROR(__xludf.DUMMYFUNCTION("IMPORTRANGE(""https://docs.google.com/spreadsheets/d/1MeEWN-I1oV_STSDYn1IFDPWt_1FKiwhDph83XaGc0o0/edit?usp=sharing"",""งบพรบ!U68"")"),0)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805700</v>
      </c>
      <c r="M53" s="116">
        <f t="shared" ca="1" si="31"/>
        <v>808600</v>
      </c>
      <c r="N53" s="116">
        <f t="shared" ca="1" si="31"/>
        <v>634313.6</v>
      </c>
      <c r="O53" s="116">
        <f t="shared" ref="O53:O61" ca="1" si="32">IF(L53&gt;0,N53*100/L53,0)</f>
        <v>78.7282611393819</v>
      </c>
      <c r="P53" s="116">
        <f t="shared" ref="P53:P61" ca="1" si="33">IF(M53&gt;0,N53*100/M53,0)</f>
        <v>78.445906505070496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805700</v>
      </c>
      <c r="M55" s="123">
        <f t="shared" ca="1" si="34"/>
        <v>808600</v>
      </c>
      <c r="N55" s="123">
        <f t="shared" ca="1" si="34"/>
        <v>634313.6</v>
      </c>
      <c r="O55" s="123">
        <f t="shared" ca="1" si="32"/>
        <v>78.7282611393819</v>
      </c>
      <c r="P55" s="123">
        <f t="shared" ca="1" si="33"/>
        <v>78.445906505070496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805700</v>
      </c>
      <c r="M56" s="497">
        <f t="shared" ca="1" si="35"/>
        <v>808600</v>
      </c>
      <c r="N56" s="497">
        <f t="shared" ca="1" si="35"/>
        <v>634313.6</v>
      </c>
      <c r="O56" s="497">
        <f t="shared" ca="1" si="32"/>
        <v>78.7282611393819</v>
      </c>
      <c r="P56" s="497">
        <f t="shared" ca="1" si="33"/>
        <v>78.445906505070496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IFERROR(__xludf.DUMMYFUNCTION("IMPORTRANGE(""https://docs.google.com/spreadsheets/d/1MeEWN-I1oV_STSDYn1IFDPWt_1FKiwhDph83XaGc0o0/edit?usp=sharing"",""งบพรบ!W68"")"),805700)</f>
        <v>805700</v>
      </c>
      <c r="M58" s="93">
        <f ca="1">IFERROR(__xludf.DUMMYFUNCTION("IMPORTRANGE(""https://docs.google.com/spreadsheets/d/1MeEWN-I1oV_STSDYn1IFDPWt_1FKiwhDph83XaGc0o0/edit?usp=sharing"",""งบพรบ!AB68"")"),808600)</f>
        <v>808600</v>
      </c>
      <c r="N58" s="93">
        <f ca="1">IFERROR(__xludf.DUMMYFUNCTION("IMPORTRANGE(""https://docs.google.com/spreadsheets/d/1MeEWN-I1oV_STSDYn1IFDPWt_1FKiwhDph83XaGc0o0/edit?usp=sharing"",""งบพรบ!AD68"")"),634313.6)</f>
        <v>634313.6</v>
      </c>
      <c r="O58" s="93">
        <f t="shared" ca="1" si="32"/>
        <v>78.7282611393819</v>
      </c>
      <c r="P58" s="93">
        <f t="shared" ca="1" si="33"/>
        <v>78.445906505070496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IFERROR(__xludf.DUMMYFUNCTION("IMPORTRANGE(""https://docs.google.com/spreadsheets/d/1MeEWN-I1oV_STSDYn1IFDPWt_1FKiwhDph83XaGc0o0/edit?usp=sharing"",""งบพรบ!Z68"")"),0)</f>
        <v>0</v>
      </c>
      <c r="M61" s="52">
        <f ca="1">IFERROR(__xludf.DUMMYFUNCTION("IMPORTRANGE(""https://docs.google.com/spreadsheets/d/1MeEWN-I1oV_STSDYn1IFDPWt_1FKiwhDph83XaGc0o0/edit?usp=sharing"",""งบพรบ!AC68"")"),0)</f>
        <v>0</v>
      </c>
      <c r="N61" s="52">
        <f ca="1">IFERROR(__xludf.DUMMYFUNCTION("IMPORTRANGE(""https://docs.google.com/spreadsheets/d/1MeEWN-I1oV_STSDYn1IFDPWt_1FKiwhDph83XaGc0o0/edit?usp=sharing"",""งบพรบ!AE68"")"),0)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180</v>
      </c>
      <c r="J65" s="144">
        <f t="shared" si="37"/>
        <v>180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1972000</v>
      </c>
      <c r="M66" s="155">
        <f t="shared" ca="1" si="39"/>
        <v>1982340</v>
      </c>
      <c r="N66" s="155">
        <f t="shared" ca="1" si="39"/>
        <v>1353157.51</v>
      </c>
      <c r="O66" s="155">
        <f t="shared" ref="O66:O74" ca="1" si="40">IF(L66&gt;0,N66*100/L66,0)</f>
        <v>68.618534989858006</v>
      </c>
      <c r="P66" s="155">
        <f t="shared" ref="P66:P74" ca="1" si="41">IF(M66&gt;0,N66*100/M66,0)</f>
        <v>68.260616745866002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1972000</v>
      </c>
      <c r="M68" s="93">
        <f t="shared" ca="1" si="42"/>
        <v>1982340</v>
      </c>
      <c r="N68" s="93">
        <f t="shared" ca="1" si="42"/>
        <v>1353157.51</v>
      </c>
      <c r="O68" s="93">
        <f t="shared" ca="1" si="40"/>
        <v>68.618534989858006</v>
      </c>
      <c r="P68" s="93">
        <f t="shared" ca="1" si="41"/>
        <v>68.260616745866002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1972000</v>
      </c>
      <c r="M69" s="497">
        <f t="shared" ca="1" si="43"/>
        <v>1982340</v>
      </c>
      <c r="N69" s="497">
        <f t="shared" ca="1" si="43"/>
        <v>1353157.51</v>
      </c>
      <c r="O69" s="497">
        <f t="shared" ca="1" si="40"/>
        <v>68.618534989858006</v>
      </c>
      <c r="P69" s="497">
        <f t="shared" ca="1" si="41"/>
        <v>68.260616745866002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IFERROR(__xludf.DUMMYFUNCTION("IMPORTRANGE(""https://docs.google.com/spreadsheets/d/1MeEWN-I1oV_STSDYn1IFDPWt_1FKiwhDph83XaGc0o0/edit?usp=sharing"",""งบพรบ!AG68"")"),1972000)</f>
        <v>1972000</v>
      </c>
      <c r="M71" s="93">
        <f ca="1">IFERROR(__xludf.DUMMYFUNCTION("IMPORTRANGE(""https://docs.google.com/spreadsheets/d/1MeEWN-I1oV_STSDYn1IFDPWt_1FKiwhDph83XaGc0o0/edit?usp=sharing"",""งบพรบ!AL68"")"),1982340)</f>
        <v>1982340</v>
      </c>
      <c r="N71" s="93">
        <f ca="1">IFERROR(__xludf.DUMMYFUNCTION("IMPORTRANGE(""https://docs.google.com/spreadsheets/d/1MeEWN-I1oV_STSDYn1IFDPWt_1FKiwhDph83XaGc0o0/edit?usp=sharing"",""งบพรบ!AN68"")"),1353157.51)</f>
        <v>1353157.51</v>
      </c>
      <c r="O71" s="93">
        <f t="shared" ca="1" si="40"/>
        <v>68.618534989858006</v>
      </c>
      <c r="P71" s="93">
        <f t="shared" ca="1" si="41"/>
        <v>68.260616745866002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IFERROR(__xludf.DUMMYFUNCTION("IMPORTRANGE(""https://docs.google.com/spreadsheets/d/1MeEWN-I1oV_STSDYn1IFDPWt_1FKiwhDph83XaGc0o0/edit?usp=sharing"",""งบพรบ!AJ68"")"),0)</f>
        <v>0</v>
      </c>
      <c r="M74" s="93">
        <f ca="1">IFERROR(__xludf.DUMMYFUNCTION("IMPORTRANGE(""https://docs.google.com/spreadsheets/d/1MeEWN-I1oV_STSDYn1IFDPWt_1FKiwhDph83XaGc0o0/edit?usp=sharing"",""งบพรบ!AM68"")"),0)</f>
        <v>0</v>
      </c>
      <c r="N74" s="93">
        <f ca="1">IFERROR(__xludf.DUMMYFUNCTION("IMPORTRANGE(""https://docs.google.com/spreadsheets/d/1MeEWN-I1oV_STSDYn1IFDPWt_1FKiwhDph83XaGc0o0/edit?usp=sharing"",""งบพรบ!AO68"")"),0)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180</v>
      </c>
      <c r="J77" s="270">
        <f t="shared" si="45"/>
        <v>180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IFERROR(__xludf.DUMMYFUNCTION("IMPORTRANGE(""https://docs.google.com/spreadsheets/d/1QqKyyYR6Q21VydFLVH3TRQUabQu_ym0Zz7PgGX0-kHA/edit?usp=sharing"",""แผน!G68"")"),80)</f>
        <v>80</v>
      </c>
      <c r="J81" s="215">
        <v>80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IFERROR(__xludf.DUMMYFUNCTION("IMPORTRANGE(""https://docs.google.com/spreadsheets/d/1QqKyyYR6Q21VydFLVH3TRQUabQu_ym0Zz7PgGX0-kHA/edit?usp=sharing"",""แผน!E68"")"),100)</f>
        <v>100</v>
      </c>
      <c r="J83" s="215">
        <v>100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IFERROR(__xludf.DUMMYFUNCTION("IMPORTRANGE(""https://docs.google.com/spreadsheets/d/1QqKyyYR6Q21VydFLVH3TRQUabQu_ym0Zz7PgGX0-kHA/edit?usp=sharing"",""แผน!J68"")"),2)</f>
        <v>2</v>
      </c>
      <c r="J84" s="215">
        <v>2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384460</v>
      </c>
      <c r="M88" s="155">
        <f t="shared" ca="1" si="49"/>
        <v>384460</v>
      </c>
      <c r="N88" s="155">
        <f t="shared" ca="1" si="49"/>
        <v>269756</v>
      </c>
      <c r="O88" s="155">
        <f t="shared" ref="O88:O96" ca="1" si="50">IF(L88&gt;0,N88*100/L88,0)</f>
        <v>70.164906622275396</v>
      </c>
      <c r="P88" s="155">
        <f t="shared" ref="P88:P96" ca="1" si="51">IF(M88&gt;0,N88*100/M88,0)</f>
        <v>70.164906622275396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384460</v>
      </c>
      <c r="M90" s="93">
        <f t="shared" ca="1" si="52"/>
        <v>384460</v>
      </c>
      <c r="N90" s="93">
        <f t="shared" ca="1" si="52"/>
        <v>269756</v>
      </c>
      <c r="O90" s="93">
        <f t="shared" ca="1" si="50"/>
        <v>70.164906622275396</v>
      </c>
      <c r="P90" s="93">
        <f t="shared" ca="1" si="51"/>
        <v>70.164906622275396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384460</v>
      </c>
      <c r="M91" s="497">
        <f t="shared" ca="1" si="53"/>
        <v>384460</v>
      </c>
      <c r="N91" s="497">
        <f t="shared" ca="1" si="53"/>
        <v>269756</v>
      </c>
      <c r="O91" s="497">
        <f t="shared" ca="1" si="50"/>
        <v>70.164906622275396</v>
      </c>
      <c r="P91" s="497">
        <f t="shared" ca="1" si="51"/>
        <v>70.164906622275396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IFERROR(__xludf.DUMMYFUNCTION("IMPORTRANGE(""https://docs.google.com/spreadsheets/d/1MeEWN-I1oV_STSDYn1IFDPWt_1FKiwhDph83XaGc0o0/edit?usp=sharing"",""งบพรบ!AQ68"")"),384460)</f>
        <v>384460</v>
      </c>
      <c r="M93" s="93">
        <f ca="1">IFERROR(__xludf.DUMMYFUNCTION("IMPORTRANGE(""https://docs.google.com/spreadsheets/d/1MeEWN-I1oV_STSDYn1IFDPWt_1FKiwhDph83XaGc0o0/edit?usp=sharing"",""งบพรบ!AV68"")"),384460)</f>
        <v>384460</v>
      </c>
      <c r="N93" s="93">
        <f ca="1">IFERROR(__xludf.DUMMYFUNCTION("IMPORTRANGE(""https://docs.google.com/spreadsheets/d/1MeEWN-I1oV_STSDYn1IFDPWt_1FKiwhDph83XaGc0o0/edit?usp=sharing"",""งบพรบ!AX68"")"),269756)</f>
        <v>269756</v>
      </c>
      <c r="O93" s="93">
        <f t="shared" ca="1" si="50"/>
        <v>70.164906622275396</v>
      </c>
      <c r="P93" s="93">
        <f t="shared" ca="1" si="51"/>
        <v>70.164906622275396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IFERROR(__xludf.DUMMYFUNCTION("IMPORTRANGE(""https://docs.google.com/spreadsheets/d/1MeEWN-I1oV_STSDYn1IFDPWt_1FKiwhDph83XaGc0o0/edit?usp=sharing"",""งบพรบ!AT68"")"),0)</f>
        <v>0</v>
      </c>
      <c r="M96" s="93">
        <f ca="1">IFERROR(__xludf.DUMMYFUNCTION("IMPORTRANGE(""https://docs.google.com/spreadsheets/d/1MeEWN-I1oV_STSDYn1IFDPWt_1FKiwhDph83XaGc0o0/edit?usp=sharing"",""งบพรบ!AW68"")"),0)</f>
        <v>0</v>
      </c>
      <c r="N96" s="93">
        <f ca="1">IFERROR(__xludf.DUMMYFUNCTION("IMPORTRANGE(""https://docs.google.com/spreadsheets/d/1MeEWN-I1oV_STSDYn1IFDPWt_1FKiwhDph83XaGc0o0/edit?usp=sharing"",""งบพรบ!AY68"")"),0)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IFERROR(__xludf.DUMMYFUNCTION("IMPORTRANGE(""https://docs.google.com/spreadsheets/d/1QqKyyYR6Q21VydFLVH3TRQUabQu_ym0Zz7PgGX0-kHA/edit?usp=sharing"",""แผน!K68"")"),45)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IFERROR(__xludf.DUMMYFUNCTION("IMPORTRANGE(""https://docs.google.com/spreadsheets/d/1QqKyyYR6Q21VydFLVH3TRQUabQu_ym0Zz7PgGX0-kHA/edit?usp=sharing"",""แผน!L68"")"),15)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IFERROR(__xludf.DUMMYFUNCTION("IMPORTRANGE(""https://docs.google.com/spreadsheets/d/1QqKyyYR6Q21VydFLVH3TRQUabQu_ym0Zz7PgGX0-kHA/edit?usp=sharing"",""แผน!N68"")"),45)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IFERROR(__xludf.DUMMYFUNCTION("IMPORTRANGE(""https://docs.google.com/spreadsheets/d/1QqKyyYR6Q21VydFLVH3TRQUabQu_ym0Zz7PgGX0-kHA/edit?usp=sharing"",""แผน!O68"")"),15)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IFERROR(__xludf.DUMMYFUNCTION("IMPORTRANGE(""https://docs.google.com/spreadsheets/d/1QqKyyYR6Q21VydFLVH3TRQUabQu_ym0Zz7PgGX0-kHA/edit?usp=sharing"",""แผน!O68"")"),15)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IFERROR(__xludf.DUMMYFUNCTION("IMPORTRANGE(""https://docs.google.com/spreadsheets/d/1QqKyyYR6Q21VydFLVH3TRQUabQu_ym0Zz7PgGX0-kHA/edit?usp=sharing"",""แผน!R68"")"),15)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IFERROR(__xludf.DUMMYFUNCTION("IMPORTRANGE(""https://docs.google.com/spreadsheets/d/1QqKyyYR6Q21VydFLVH3TRQUabQu_ym0Zz7PgGX0-kHA/edit?usp=sharing"",""แผน!R68"")"),15)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IFERROR(__xludf.DUMMYFUNCTION("IMPORTRANGE(""https://docs.google.com/spreadsheets/d/1QqKyyYR6Q21VydFLVH3TRQUabQu_ym0Zz7PgGX0-kHA/edit?usp=sharing"",""แผน!R68"")"),15)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IFERROR(__xludf.DUMMYFUNCTION("IMPORTRANGE(""https://docs.google.com/spreadsheets/d/1MeEWN-I1oV_STSDYn1IFDPWt_1FKiwhDph83XaGc0o0/edit?usp=sharing"",""งบพรบ!BA68"")"),0)</f>
        <v>0</v>
      </c>
      <c r="M124" s="93">
        <f ca="1">IFERROR(__xludf.DUMMYFUNCTION("IMPORTRANGE(""https://docs.google.com/spreadsheets/d/1MeEWN-I1oV_STSDYn1IFDPWt_1FKiwhDph83XaGc0o0/edit?usp=sharing"",""งบพรบ!BF68"")"),0)</f>
        <v>0</v>
      </c>
      <c r="N124" s="93">
        <f ca="1">IFERROR(__xludf.DUMMYFUNCTION("IMPORTRANGE(""https://docs.google.com/spreadsheets/d/1MeEWN-I1oV_STSDYn1IFDPWt_1FKiwhDph83XaGc0o0/edit?usp=sharing"",""งบพรบ!BH68"")"),0)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IFERROR(__xludf.DUMMYFUNCTION("IMPORTRANGE(""https://docs.google.com/spreadsheets/d/1MeEWN-I1oV_STSDYn1IFDPWt_1FKiwhDph83XaGc0o0/edit?usp=sharing"",""งบพรบ!BD68"")"),0)</f>
        <v>0</v>
      </c>
      <c r="M127" s="93">
        <f ca="1">IFERROR(__xludf.DUMMYFUNCTION("IMPORTRANGE(""https://docs.google.com/spreadsheets/d/1MeEWN-I1oV_STSDYn1IFDPWt_1FKiwhDph83XaGc0o0/edit?usp=sharing"",""งบพรบ!BG68"")"),0)</f>
        <v>0</v>
      </c>
      <c r="N127" s="93">
        <f ca="1">IFERROR(__xludf.DUMMYFUNCTION("IMPORTRANGE(""https://docs.google.com/spreadsheets/d/1MeEWN-I1oV_STSDYn1IFDPWt_1FKiwhDph83XaGc0o0/edit?usp=sharing"",""งบพรบ!BI68"")"),0)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IFERROR(__xludf.DUMMYFUNCTION("IMPORTRANGE(""https://docs.google.com/spreadsheets/d/1MeEWN-I1oV_STSDYn1IFDPWt_1FKiwhDph83XaGc0o0/edit?usp=sharing"",""งบพรบ!BK68"")"),0)</f>
        <v>0</v>
      </c>
      <c r="M137" s="93">
        <f ca="1">IFERROR(__xludf.DUMMYFUNCTION("IMPORTRANGE(""https://docs.google.com/spreadsheets/d/1MeEWN-I1oV_STSDYn1IFDPWt_1FKiwhDph83XaGc0o0/edit?usp=sharing"",""งบพรบ!BP68"")"),0)</f>
        <v>0</v>
      </c>
      <c r="N137" s="93">
        <f ca="1">IFERROR(__xludf.DUMMYFUNCTION("IMPORTRANGE(""https://docs.google.com/spreadsheets/d/1MeEWN-I1oV_STSDYn1IFDPWt_1FKiwhDph83XaGc0o0/edit?usp=sharing"",""งบพรบ!BR68"")"),0)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IFERROR(__xludf.DUMMYFUNCTION("IMPORTRANGE(""https://docs.google.com/spreadsheets/d/1MeEWN-I1oV_STSDYn1IFDPWt_1FKiwhDph83XaGc0o0/edit?usp=sharing"",""งบพรบ!BN68"")"),0)</f>
        <v>0</v>
      </c>
      <c r="M140" s="93">
        <f ca="1">IFERROR(__xludf.DUMMYFUNCTION("IMPORTRANGE(""https://docs.google.com/spreadsheets/d/1MeEWN-I1oV_STSDYn1IFDPWt_1FKiwhDph83XaGc0o0/edit?usp=sharing"",""งบพรบ!BQ68"")"),0)</f>
        <v>0</v>
      </c>
      <c r="N140" s="93">
        <f ca="1">IFERROR(__xludf.DUMMYFUNCTION("IMPORTRANGE(""https://docs.google.com/spreadsheets/d/1MeEWN-I1oV_STSDYn1IFDPWt_1FKiwhDph83XaGc0o0/edit?usp=sharing"",""งบพรบ!BS68"")"),0)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5000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5000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5000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IFERROR(__xludf.DUMMYFUNCTION("IMPORTRANGE(""https://docs.google.com/spreadsheets/d/1MeEWN-I1oV_STSDYn1IFDPWt_1FKiwhDph83XaGc0o0/edit?usp=sharing"",""งบพรบ!BU68"")"),5000)</f>
        <v>5000</v>
      </c>
      <c r="M154" s="93">
        <f ca="1">IFERROR(__xludf.DUMMYFUNCTION("IMPORTRANGE(""https://docs.google.com/spreadsheets/d/1MeEWN-I1oV_STSDYn1IFDPWt_1FKiwhDph83XaGc0o0/edit?usp=sharing"",""งบพรบ!BZ68"")"),5000)</f>
        <v>5000</v>
      </c>
      <c r="N154" s="93">
        <f ca="1">IFERROR(__xludf.DUMMYFUNCTION("IMPORTRANGE(""https://docs.google.com/spreadsheets/d/1MeEWN-I1oV_STSDYn1IFDPWt_1FKiwhDph83XaGc0o0/edit?usp=sharing"",""งบพรบ!CB68"")"),5000)</f>
        <v>5000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IFERROR(__xludf.DUMMYFUNCTION("IMPORTRANGE(""https://docs.google.com/spreadsheets/d/1MeEWN-I1oV_STSDYn1IFDPWt_1FKiwhDph83XaGc0o0/edit?usp=sharing"",""งบพรบ!BX68"")"),0)</f>
        <v>0</v>
      </c>
      <c r="M157" s="93">
        <f ca="1">IFERROR(__xludf.DUMMYFUNCTION("IMPORTRANGE(""https://docs.google.com/spreadsheets/d/1MeEWN-I1oV_STSDYn1IFDPWt_1FKiwhDph83XaGc0o0/edit?usp=sharing"",""งบพรบ!CA68"")"),0)</f>
        <v>0</v>
      </c>
      <c r="N157" s="93">
        <f ca="1">IFERROR(__xludf.DUMMYFUNCTION("IMPORTRANGE(""https://docs.google.com/spreadsheets/d/1MeEWN-I1oV_STSDYn1IFDPWt_1FKiwhDph83XaGc0o0/edit?usp=sharing"",""งบพรบ!CC68"")"),0)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IFERROR(__xludf.DUMMYFUNCTION("IMPORTRANGE(""https://docs.google.com/spreadsheets/d/1QqKyyYR6Q21VydFLVH3TRQUabQu_ym0Zz7PgGX0-kHA/edit?usp=sharing"",""แผน!X68"")"),10)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IFERROR(__xludf.DUMMYFUNCTION("IMPORTRANGE(""https://docs.google.com/spreadsheets/d/1MeEWN-I1oV_STSDYn1IFDPWt_1FKiwhDph83XaGc0o0/edit?usp=sharing"",""งบพรบ!CE68"")"),23060)</f>
        <v>23060</v>
      </c>
      <c r="M170" s="93">
        <f ca="1">IFERROR(__xludf.DUMMYFUNCTION("IMPORTRANGE(""https://docs.google.com/spreadsheets/d/1MeEWN-I1oV_STSDYn1IFDPWt_1FKiwhDph83XaGc0o0/edit?usp=sharing"",""งบพรบ!CJ68"")"),23060)</f>
        <v>23060</v>
      </c>
      <c r="N170" s="93">
        <f ca="1">IFERROR(__xludf.DUMMYFUNCTION("IMPORTRANGE(""https://docs.google.com/spreadsheets/d/1MeEWN-I1oV_STSDYn1IFDPWt_1FKiwhDph83XaGc0o0/edit?usp=sharing"",""งบพรบ!CL68"")"),23060)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IFERROR(__xludf.DUMMYFUNCTION("IMPORTRANGE(""https://docs.google.com/spreadsheets/d/1MeEWN-I1oV_STSDYn1IFDPWt_1FKiwhDph83XaGc0o0/edit?usp=sharing"",""งบพรบ!CH68"")"),0)</f>
        <v>0</v>
      </c>
      <c r="M173" s="93">
        <f ca="1">IFERROR(__xludf.DUMMYFUNCTION("IMPORTRANGE(""https://docs.google.com/spreadsheets/d/1MeEWN-I1oV_STSDYn1IFDPWt_1FKiwhDph83XaGc0o0/edit?usp=sharing"",""งบพรบ!CK68"")"),0)</f>
        <v>0</v>
      </c>
      <c r="N173" s="93">
        <f ca="1">IFERROR(__xludf.DUMMYFUNCTION("IMPORTRANGE(""https://docs.google.com/spreadsheets/d/1MeEWN-I1oV_STSDYn1IFDPWt_1FKiwhDph83XaGc0o0/edit?usp=sharing"",""งบพรบ!CM68"")"),0)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89000</v>
      </c>
      <c r="M181" s="155">
        <f t="shared" ca="1" si="92"/>
        <v>89000</v>
      </c>
      <c r="N181" s="155">
        <f t="shared" ca="1" si="92"/>
        <v>54720</v>
      </c>
      <c r="O181" s="155">
        <f t="shared" ref="O181:O189" ca="1" si="93">IF(L181&gt;0,N181*100/L181,0)</f>
        <v>61.483146067415731</v>
      </c>
      <c r="P181" s="155">
        <f t="shared" ref="P181:P189" ca="1" si="94">IF(M181&gt;0,N181*100/M181,0)</f>
        <v>61.483146067415731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89000</v>
      </c>
      <c r="M183" s="93">
        <f t="shared" ca="1" si="95"/>
        <v>89000</v>
      </c>
      <c r="N183" s="93">
        <f t="shared" ca="1" si="95"/>
        <v>54720</v>
      </c>
      <c r="O183" s="93">
        <f t="shared" ca="1" si="93"/>
        <v>61.483146067415731</v>
      </c>
      <c r="P183" s="93">
        <f t="shared" ca="1" si="94"/>
        <v>61.483146067415731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89000</v>
      </c>
      <c r="M184" s="497">
        <f t="shared" ca="1" si="96"/>
        <v>89000</v>
      </c>
      <c r="N184" s="497">
        <f t="shared" ca="1" si="96"/>
        <v>54720</v>
      </c>
      <c r="O184" s="497">
        <f t="shared" ca="1" si="93"/>
        <v>61.483146067415731</v>
      </c>
      <c r="P184" s="497">
        <f t="shared" ca="1" si="94"/>
        <v>61.483146067415731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IFERROR(__xludf.DUMMYFUNCTION("IMPORTRANGE(""https://docs.google.com/spreadsheets/d/1MeEWN-I1oV_STSDYn1IFDPWt_1FKiwhDph83XaGc0o0/edit?usp=sharing"",""งบพรบ!CO68"")"),89000)</f>
        <v>89000</v>
      </c>
      <c r="M186" s="93">
        <f ca="1">IFERROR(__xludf.DUMMYFUNCTION("IMPORTRANGE(""https://docs.google.com/spreadsheets/d/1MeEWN-I1oV_STSDYn1IFDPWt_1FKiwhDph83XaGc0o0/edit?usp=sharing"",""งบพรบ!CT68"")"),89000)</f>
        <v>89000</v>
      </c>
      <c r="N186" s="93">
        <f ca="1">IFERROR(__xludf.DUMMYFUNCTION("IMPORTRANGE(""https://docs.google.com/spreadsheets/d/1MeEWN-I1oV_STSDYn1IFDPWt_1FKiwhDph83XaGc0o0/edit?usp=sharing"",""งบพรบ!CV68"")"),54720)</f>
        <v>54720</v>
      </c>
      <c r="O186" s="93">
        <f t="shared" ca="1" si="93"/>
        <v>61.483146067415731</v>
      </c>
      <c r="P186" s="93">
        <f t="shared" ca="1" si="94"/>
        <v>61.483146067415731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IFERROR(__xludf.DUMMYFUNCTION("IMPORTRANGE(""https://docs.google.com/spreadsheets/d/1MeEWN-I1oV_STSDYn1IFDPWt_1FKiwhDph83XaGc0o0/edit?usp=sharing"",""งบพรบ!CR68"")"),0)</f>
        <v>0</v>
      </c>
      <c r="M189" s="93">
        <f ca="1">IFERROR(__xludf.DUMMYFUNCTION("IMPORTRANGE(""https://docs.google.com/spreadsheets/d/1MeEWN-I1oV_STSDYn1IFDPWt_1FKiwhDph83XaGc0o0/edit?usp=sharing"",""งบพรบ!CU68"")"),0)</f>
        <v>0</v>
      </c>
      <c r="N189" s="93">
        <f ca="1">IFERROR(__xludf.DUMMYFUNCTION("IMPORTRANGE(""https://docs.google.com/spreadsheets/d/1MeEWN-I1oV_STSDYn1IFDPWt_1FKiwhDph83XaGc0o0/edit?usp=sharing"",""งบพรบ!CW68"")"),0)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IFERROR(__xludf.DUMMYFUNCTION("IMPORTRANGE(""https://docs.google.com/spreadsheets/d/1QqKyyYR6Q21VydFLVH3TRQUabQu_ym0Zz7PgGX0-kHA/edit?usp=sharing"",""แผน!Z68"")"),6000)</f>
        <v>6000</v>
      </c>
      <c r="M191" s="155"/>
      <c r="N191" s="276">
        <v>2720</v>
      </c>
      <c r="O191" s="155">
        <f ca="1">IF(L191&gt;0,N191*100/L191,0)</f>
        <v>45.333333333333336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IFERROR(__xludf.DUMMYFUNCTION("IMPORTRANGE(""https://docs.google.com/spreadsheets/d/1QqKyyYR6Q21VydFLVH3TRQUabQu_ym0Zz7PgGX0-kHA/edit?usp=sharing"",""แผน!AE68"")"),4000)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IFERROR(__xludf.DUMMYFUNCTION("IMPORTRANGE(""https://docs.google.com/spreadsheets/d/1QqKyyYR6Q21VydFLVH3TRQUabQu_ym0Zz7PgGX0-kHA/edit?usp=sharing"",""แผน!AF68"")"),32000)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IFERROR(__xludf.DUMMYFUNCTION("IMPORTRANGE(""https://docs.google.com/spreadsheets/d/1QqKyyYR6Q21VydFLVH3TRQUabQu_ym0Zz7PgGX0-kHA/edit?usp=sharing"",""แผน!AG68"")"),16000)</f>
        <v>16000</v>
      </c>
      <c r="M201" s="497"/>
      <c r="N201" s="284">
        <v>16000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IFERROR(__xludf.DUMMYFUNCTION("IMPORTRANGE(""https://docs.google.com/spreadsheets/d/1QqKyyYR6Q21VydFLVH3TRQUabQu_ym0Zz7PgGX0-kHA/edit?usp=sharing"",""แผน!AI68"")"),4)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IFERROR(__xludf.DUMMYFUNCTION("IMPORTRANGE(""https://docs.google.com/spreadsheets/d/1QqKyyYR6Q21VydFLVH3TRQUabQu_ym0Zz7PgGX0-kHA/edit?usp=sharing"",""แผน!AK68"")"),0)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IFERROR(__xludf.DUMMYFUNCTION("IMPORTRANGE(""https://docs.google.com/spreadsheets/d/1QqKyyYR6Q21VydFLVH3TRQUabQu_ym0Zz7PgGX0-kHA/edit?usp=sharing"",""แผน!AL68"")"),0)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IFERROR(__xludf.DUMMYFUNCTION("IMPORTRANGE(""https://docs.google.com/spreadsheets/d/1QqKyyYR6Q21VydFLVH3TRQUabQu_ym0Zz7PgGX0-kHA/edit?usp=sharing"",""แผน!AM68"")"),0)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IFERROR(__xludf.DUMMYFUNCTION("IMPORTRANGE(""https://docs.google.com/spreadsheets/d/1QqKyyYR6Q21VydFLVH3TRQUabQu_ym0Zz7PgGX0-kHA/edit?usp=sharing"",""แผน!AN68"")"),0)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IFERROR(__xludf.DUMMYFUNCTION("IMPORTRANGE(""https://docs.google.com/spreadsheets/d/1QqKyyYR6Q21VydFLVH3TRQUabQu_ym0Zz7PgGX0-kHA/edit?usp=sharing"",""แผน!AN68"")"),0)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IFERROR(__xludf.DUMMYFUNCTION("IMPORTRANGE(""https://docs.google.com/spreadsheets/d/1QqKyyYR6Q21VydFLVH3TRQUabQu_ym0Zz7PgGX0-kHA/edit?usp=sharing"",""แผน!AP68"")"),6000)</f>
        <v>6000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IFERROR(__xludf.DUMMYFUNCTION("IMPORTRANGE(""https://docs.google.com/spreadsheets/d/1QqKyyYR6Q21VydFLVH3TRQUabQu_ym0Zz7PgGX0-kHA/edit?usp=sharing"",""แผน!AQ68"")"),25000)</f>
        <v>25000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IFERROR(__xludf.DUMMYFUNCTION("IMPORTRANGE(""https://docs.google.com/spreadsheets/d/1QqKyyYR6Q21VydFLVH3TRQUabQu_ym0Zz7PgGX0-kHA/edit?usp=sharing"",""แผน!AV68"")"),0)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IFERROR(__xludf.DUMMYFUNCTION("IMPORTRANGE(""https://docs.google.com/spreadsheets/d/1QqKyyYR6Q21VydFLVH3TRQUabQu_ym0Zz7PgGX0-kHA/edit?usp=sharing"",""แผน!AW68"")"),0)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IFERROR(__xludf.DUMMYFUNCTION("IMPORTRANGE(""https://docs.google.com/spreadsheets/d/1QqKyyYR6Q21VydFLVH3TRQUabQu_ym0Zz7PgGX0-kHA/edit?usp=sharing"",""แผน!AX68"")"),0)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IFERROR(__xludf.DUMMYFUNCTION("IMPORTRANGE(""https://docs.google.com/spreadsheets/d/1QqKyyYR6Q21VydFLVH3TRQUabQu_ym0Zz7PgGX0-kHA/edit?usp=sharing"",""แผน!AY68"")"),0)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IFERROR(__xludf.DUMMYFUNCTION("IMPORTRANGE(""https://docs.google.com/spreadsheets/d/1QqKyyYR6Q21VydFLVH3TRQUabQu_ym0Zz7PgGX0-kHA/edit?usp=sharing"",""แผน!AZ68"")"),0)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IFERROR(__xludf.DUMMYFUNCTION("IMPORTRANGE(""https://docs.google.com/spreadsheets/d/1QqKyyYR6Q21VydFLVH3TRQUabQu_ym0Zz7PgGX0-kHA/edit?usp=sharing"",""แผน!BA68"")"),0)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IFERROR(__xludf.DUMMYFUNCTION("IMPORTRANGE(""https://docs.google.com/spreadsheets/d/1QqKyyYR6Q21VydFLVH3TRQUabQu_ym0Zz7PgGX0-kHA/edit?usp=sharing"",""แผน!BB68"")"),0)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IFERROR(__xludf.DUMMYFUNCTION("IMPORTRANGE(""https://docs.google.com/spreadsheets/d/1QqKyyYR6Q21VydFLVH3TRQUabQu_ym0Zz7PgGX0-kHA/edit?usp=sharing"",""แผน!BC68"")"),0)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22080</v>
      </c>
      <c r="O261" s="155">
        <f t="shared" ref="O261:O269" ca="1" si="117">IF(L261&gt;0,N261*100/L261,0)</f>
        <v>82.081784386617102</v>
      </c>
      <c r="P261" s="155">
        <f t="shared" ref="P261:P269" ca="1" si="118">IF(M261&gt;0,N261*100/M261,0)</f>
        <v>82.081784386617102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22080</v>
      </c>
      <c r="O263" s="93">
        <f t="shared" ca="1" si="117"/>
        <v>82.081784386617102</v>
      </c>
      <c r="P263" s="93">
        <f t="shared" ca="1" si="118"/>
        <v>82.081784386617102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22080</v>
      </c>
      <c r="O264" s="497">
        <f t="shared" ca="1" si="117"/>
        <v>82.081784386617102</v>
      </c>
      <c r="P264" s="497">
        <f t="shared" ca="1" si="118"/>
        <v>82.081784386617102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IFERROR(__xludf.DUMMYFUNCTION("IMPORTRANGE(""https://docs.google.com/spreadsheets/d/1MeEWN-I1oV_STSDYn1IFDPWt_1FKiwhDph83XaGc0o0/edit?usp=sharing"",""งบพรบ!CY68"")"),26900)</f>
        <v>26900</v>
      </c>
      <c r="M266" s="93">
        <f ca="1">IFERROR(__xludf.DUMMYFUNCTION("IMPORTRANGE(""https://docs.google.com/spreadsheets/d/1MeEWN-I1oV_STSDYn1IFDPWt_1FKiwhDph83XaGc0o0/edit?usp=sharing"",""งบพรบ!DD68"")"),26900)</f>
        <v>26900</v>
      </c>
      <c r="N266" s="93">
        <f ca="1">IFERROR(__xludf.DUMMYFUNCTION("IMPORTRANGE(""https://docs.google.com/spreadsheets/d/1MeEWN-I1oV_STSDYn1IFDPWt_1FKiwhDph83XaGc0o0/edit?usp=sharing"",""งบพรบ!DF68"")"),22080)</f>
        <v>22080</v>
      </c>
      <c r="O266" s="93">
        <f t="shared" ca="1" si="117"/>
        <v>82.081784386617102</v>
      </c>
      <c r="P266" s="93">
        <f t="shared" ca="1" si="118"/>
        <v>82.081784386617102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IFERROR(__xludf.DUMMYFUNCTION("IMPORTRANGE(""https://docs.google.com/spreadsheets/d/1MeEWN-I1oV_STSDYn1IFDPWt_1FKiwhDph83XaGc0o0/edit?usp=sharing"",""งบพรบ!DB68"")"),0)</f>
        <v>0</v>
      </c>
      <c r="M269" s="93">
        <f ca="1">IFERROR(__xludf.DUMMYFUNCTION("IMPORTRANGE(""https://docs.google.com/spreadsheets/d/1MeEWN-I1oV_STSDYn1IFDPWt_1FKiwhDph83XaGc0o0/edit?usp=sharing"",""งบพรบ!DE68"")"),0)</f>
        <v>0</v>
      </c>
      <c r="N269" s="93">
        <f ca="1">IFERROR(__xludf.DUMMYFUNCTION("IMPORTRANGE(""https://docs.google.com/spreadsheets/d/1MeEWN-I1oV_STSDYn1IFDPWt_1FKiwhDph83XaGc0o0/edit?usp=sharing"",""งบพรบ!DG68"")"),0)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60</v>
      </c>
      <c r="J275" s="406">
        <f t="shared" ca="1" si="122"/>
        <v>60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600</v>
      </c>
      <c r="J276" s="874">
        <f t="shared" si="124"/>
        <v>600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216980</v>
      </c>
      <c r="M277" s="155">
        <f t="shared" ca="1" si="125"/>
        <v>216980</v>
      </c>
      <c r="N277" s="155">
        <f t="shared" ca="1" si="125"/>
        <v>211660</v>
      </c>
      <c r="O277" s="155">
        <f t="shared" ref="O277:O285" ca="1" si="126">IF(L277&gt;0,N277*100/L277,0)</f>
        <v>97.548161120840632</v>
      </c>
      <c r="P277" s="155">
        <f t="shared" ref="P277:P285" ca="1" si="127">IF(M277&gt;0,N277*100/M277,0)</f>
        <v>97.548161120840632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216980</v>
      </c>
      <c r="M279" s="93">
        <f t="shared" ca="1" si="128"/>
        <v>216980</v>
      </c>
      <c r="N279" s="93">
        <f t="shared" ca="1" si="128"/>
        <v>211660</v>
      </c>
      <c r="O279" s="93">
        <f t="shared" ca="1" si="126"/>
        <v>97.548161120840632</v>
      </c>
      <c r="P279" s="93">
        <f t="shared" ca="1" si="127"/>
        <v>97.548161120840632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216980</v>
      </c>
      <c r="M280" s="497">
        <f t="shared" ca="1" si="129"/>
        <v>216980</v>
      </c>
      <c r="N280" s="497">
        <f t="shared" ca="1" si="129"/>
        <v>211660</v>
      </c>
      <c r="O280" s="497">
        <f t="shared" ca="1" si="126"/>
        <v>97.548161120840632</v>
      </c>
      <c r="P280" s="497">
        <f t="shared" ca="1" si="127"/>
        <v>97.548161120840632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IFERROR(__xludf.DUMMYFUNCTION("IMPORTRANGE(""https://docs.google.com/spreadsheets/d/1MeEWN-I1oV_STSDYn1IFDPWt_1FKiwhDph83XaGc0o0/edit?usp=sharing"",""งบพรบ!DI68"")"),216980)</f>
        <v>216980</v>
      </c>
      <c r="M282" s="93">
        <f ca="1">IFERROR(__xludf.DUMMYFUNCTION("IMPORTRANGE(""https://docs.google.com/spreadsheets/d/1MeEWN-I1oV_STSDYn1IFDPWt_1FKiwhDph83XaGc0o0/edit?usp=sharing"",""งบพรบ!DN68"")"),216980)</f>
        <v>216980</v>
      </c>
      <c r="N282" s="93">
        <f ca="1">IFERROR(__xludf.DUMMYFUNCTION("IMPORTRANGE(""https://docs.google.com/spreadsheets/d/1MeEWN-I1oV_STSDYn1IFDPWt_1FKiwhDph83XaGc0o0/edit?usp=sharing"",""งบพรบ!DP68"")"),211660)</f>
        <v>211660</v>
      </c>
      <c r="O282" s="93">
        <f t="shared" ca="1" si="126"/>
        <v>97.548161120840632</v>
      </c>
      <c r="P282" s="93">
        <f t="shared" ca="1" si="127"/>
        <v>97.548161120840632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IFERROR(__xludf.DUMMYFUNCTION("IMPORTRANGE(""https://docs.google.com/spreadsheets/d/1MeEWN-I1oV_STSDYn1IFDPWt_1FKiwhDph83XaGc0o0/edit?usp=sharing"",""งบพรบ!DL68"")"),0)</f>
        <v>0</v>
      </c>
      <c r="M285" s="93">
        <f ca="1">IFERROR(__xludf.DUMMYFUNCTION("IMPORTRANGE(""https://docs.google.com/spreadsheets/d/1MeEWN-I1oV_STSDYn1IFDPWt_1FKiwhDph83XaGc0o0/edit?usp=sharing"",""งบพรบ!DO68"")"),0)</f>
        <v>0</v>
      </c>
      <c r="N285" s="93">
        <f ca="1">IFERROR(__xludf.DUMMYFUNCTION("IMPORTRANGE(""https://docs.google.com/spreadsheets/d/1MeEWN-I1oV_STSDYn1IFDPWt_1FKiwhDph83XaGc0o0/edit?usp=sharing"",""งบพรบ!DQ68"")"),0)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IFERROR(__xludf.DUMMYFUNCTION("IMPORTRANGE(""https://docs.google.com/spreadsheets/d/1QqKyyYR6Q21VydFLVH3TRQUabQu_ym0Zz7PgGX0-kHA/edit?usp=sharing"",""แผน!EC68"")"),600)</f>
        <v>600</v>
      </c>
      <c r="J287" s="215">
        <v>600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IFERROR(__xludf.DUMMYFUNCTION("IMPORTRANGE(""https://docs.google.com/spreadsheets/d/1QqKyyYR6Q21VydFLVH3TRQUabQu_ym0Zz7PgGX0-kHA/edit?usp=sharing"",""แผน!EB68"")"),60)</f>
        <v>60</v>
      </c>
      <c r="J288" s="676">
        <f ca="1">IF(AND(J291&gt;=I288,J294&gt;=I288),J294,0)</f>
        <v>60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IFERROR(__xludf.DUMMYFUNCTION("IMPORTRANGE(""https://docs.google.com/spreadsheets/d/1QqKyyYR6Q21VydFLVH3TRQUabQu_ym0Zz7PgGX0-kHA/edit?usp=sharing"",""แผน!EB68"")"),60)</f>
        <v>60</v>
      </c>
      <c r="J290" s="215">
        <v>60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IFERROR(__xludf.DUMMYFUNCTION("IMPORTRANGE(""https://docs.google.com/spreadsheets/d/1QqKyyYR6Q21VydFLVH3TRQUabQu_ym0Zz7PgGX0-kHA/edit?usp=sharing"",""แผน!EB68"")"),60)</f>
        <v>60</v>
      </c>
      <c r="J291" s="215">
        <v>60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IFERROR(__xludf.DUMMYFUNCTION("IMPORTRANGE(""https://docs.google.com/spreadsheets/d/1QqKyyYR6Q21VydFLVH3TRQUabQu_ym0Zz7PgGX0-kHA/edit?usp=sharing"",""แผน!EB68"")"),60)</f>
        <v>60</v>
      </c>
      <c r="J293" s="215">
        <v>60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IFERROR(__xludf.DUMMYFUNCTION("IMPORTRANGE(""https://docs.google.com/spreadsheets/d/1QqKyyYR6Q21VydFLVH3TRQUabQu_ym0Zz7PgGX0-kHA/edit?usp=sharing"",""แผน!EB68"")"),60)</f>
        <v>60</v>
      </c>
      <c r="J294" s="424">
        <v>60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IFERROR(__xludf.DUMMYFUNCTION("IMPORTRANGE(""https://docs.google.com/spreadsheets/d/1MeEWN-I1oV_STSDYn1IFDPWt_1FKiwhDph83XaGc0o0/edit?usp=sharing"",""งบพรบ!DS68"")"),101000)</f>
        <v>101000</v>
      </c>
      <c r="M303" s="93">
        <f ca="1">IFERROR(__xludf.DUMMYFUNCTION("IMPORTRANGE(""https://docs.google.com/spreadsheets/d/1MeEWN-I1oV_STSDYn1IFDPWt_1FKiwhDph83XaGc0o0/edit?usp=sharing"",""งบพรบ!DX68"")"),101000)</f>
        <v>101000</v>
      </c>
      <c r="N303" s="93">
        <f ca="1">IFERROR(__xludf.DUMMYFUNCTION("IMPORTRANGE(""https://docs.google.com/spreadsheets/d/1MeEWN-I1oV_STSDYn1IFDPWt_1FKiwhDph83XaGc0o0/edit?usp=sharing"",""งบพรบ!DZ68"")"),101000)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IFERROR(__xludf.DUMMYFUNCTION("IMPORTRANGE(""https://docs.google.com/spreadsheets/d/1MeEWN-I1oV_STSDYn1IFDPWt_1FKiwhDph83XaGc0o0/edit?usp=sharing"",""งบพรบ!DV68"")"),0)</f>
        <v>0</v>
      </c>
      <c r="M306" s="93">
        <f ca="1">IFERROR(__xludf.DUMMYFUNCTION("IMPORTRANGE(""https://docs.google.com/spreadsheets/d/1MeEWN-I1oV_STSDYn1IFDPWt_1FKiwhDph83XaGc0o0/edit?usp=sharing"",""งบพรบ!DY68"")"),0)</f>
        <v>0</v>
      </c>
      <c r="N306" s="93">
        <f ca="1">IFERROR(__xludf.DUMMYFUNCTION("IMPORTRANGE(""https://docs.google.com/spreadsheets/d/1MeEWN-I1oV_STSDYn1IFDPWt_1FKiwhDph83XaGc0o0/edit?usp=sharing"",""งบพรบ!EA68"")"),0)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IFERROR(__xludf.DUMMYFUNCTION("IMPORTRANGE(""https://docs.google.com/spreadsheets/d/1QqKyyYR6Q21VydFLVH3TRQUabQu_ym0Zz7PgGX0-kHA/edit?usp=sharing"",""แผน!EE68"")"),5)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IFERROR(__xludf.DUMMYFUNCTION("IMPORTRANGE(""https://docs.google.com/spreadsheets/d/1MeEWN-I1oV_STSDYn1IFDPWt_1FKiwhDph83XaGc0o0/edit?usp=sharing"",""งบพรบ!EC68"")"),0)</f>
        <v>0</v>
      </c>
      <c r="M320" s="93">
        <f ca="1">IFERROR(__xludf.DUMMYFUNCTION("IMPORTRANGE(""https://docs.google.com/spreadsheets/d/1MeEWN-I1oV_STSDYn1IFDPWt_1FKiwhDph83XaGc0o0/edit?usp=sharing"",""งบพรบ!EH68"")"),0)</f>
        <v>0</v>
      </c>
      <c r="N320" s="93">
        <f ca="1">IFERROR(__xludf.DUMMYFUNCTION("IMPORTRANGE(""https://docs.google.com/spreadsheets/d/1MeEWN-I1oV_STSDYn1IFDPWt_1FKiwhDph83XaGc0o0/edit?usp=sharing"",""งบพรบ!EJ68"")"),0)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IFERROR(__xludf.DUMMYFUNCTION("IMPORTRANGE(""https://docs.google.com/spreadsheets/d/1MeEWN-I1oV_STSDYn1IFDPWt_1FKiwhDph83XaGc0o0/edit?usp=sharing"",""งบพรบ!EF68"")"),0)</f>
        <v>0</v>
      </c>
      <c r="M323" s="93">
        <f ca="1">IFERROR(__xludf.DUMMYFUNCTION("IMPORTRANGE(""https://docs.google.com/spreadsheets/d/1MeEWN-I1oV_STSDYn1IFDPWt_1FKiwhDph83XaGc0o0/edit?usp=sharing"",""งบพรบ!EI68"")"),0)</f>
        <v>0</v>
      </c>
      <c r="N323" s="93">
        <f ca="1">IFERROR(__xludf.DUMMYFUNCTION("IMPORTRANGE(""https://docs.google.com/spreadsheets/d/1MeEWN-I1oV_STSDYn1IFDPWt_1FKiwhDph83XaGc0o0/edit?usp=sharing"",""งบพรบ!EK68"")"),0)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IFERROR(__xludf.DUMMYFUNCTION("IMPORTRANGE(""https://docs.google.com/spreadsheets/d/1QqKyyYR6Q21VydFLVH3TRQUabQu_ym0Zz7PgGX0-kHA/edit?usp=sharing"",""แผน!EG68"")"),2100)</f>
        <v>2100</v>
      </c>
      <c r="J327" s="444">
        <f ca="1">J338+J341+J342+J343</f>
        <v>3481</v>
      </c>
      <c r="K327" s="445">
        <f ca="1">IF(I327&gt;0,J327*100/I327,0)</f>
        <v>165.76190476190476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115023</v>
      </c>
      <c r="O328" s="155">
        <f t="shared" ref="O328:O336" ca="1" si="150">IF(L328&gt;0,N328*100/L328,0)</f>
        <v>67.660588235294114</v>
      </c>
      <c r="P328" s="155">
        <f t="shared" ref="P328:P336" ca="1" si="151">IF(M328&gt;0,N328*100/M328,0)</f>
        <v>66.680000000000007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115023</v>
      </c>
      <c r="O330" s="93">
        <f t="shared" ca="1" si="150"/>
        <v>67.660588235294114</v>
      </c>
      <c r="P330" s="93">
        <f t="shared" ca="1" si="151"/>
        <v>66.680000000000007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172500</v>
      </c>
      <c r="N331" s="497">
        <f t="shared" ca="1" si="153"/>
        <v>115023</v>
      </c>
      <c r="O331" s="497">
        <f t="shared" ca="1" si="150"/>
        <v>67.660588235294114</v>
      </c>
      <c r="P331" s="497">
        <f t="shared" ca="1" si="151"/>
        <v>66.680000000000007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IFERROR(__xludf.DUMMYFUNCTION("IMPORTRANGE(""https://docs.google.com/spreadsheets/d/1MeEWN-I1oV_STSDYn1IFDPWt_1FKiwhDph83XaGc0o0/edit?usp=sharing"",""งบพรบ!EM68"")"),170000)</f>
        <v>170000</v>
      </c>
      <c r="M333" s="93">
        <f ca="1">IFERROR(__xludf.DUMMYFUNCTION("IMPORTRANGE(""https://docs.google.com/spreadsheets/d/1MeEWN-I1oV_STSDYn1IFDPWt_1FKiwhDph83XaGc0o0/edit?usp=sharing"",""งบพรบ!ER68"")"),172500)</f>
        <v>172500</v>
      </c>
      <c r="N333" s="93">
        <f ca="1">IFERROR(__xludf.DUMMYFUNCTION("IMPORTRANGE(""https://docs.google.com/spreadsheets/d/1MeEWN-I1oV_STSDYn1IFDPWt_1FKiwhDph83XaGc0o0/edit?usp=sharing"",""งบพรบ!ET68"")"),115023)</f>
        <v>115023</v>
      </c>
      <c r="O333" s="93">
        <f t="shared" ca="1" si="150"/>
        <v>67.660588235294114</v>
      </c>
      <c r="P333" s="93">
        <f t="shared" ca="1" si="151"/>
        <v>66.680000000000007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IFERROR(__xludf.DUMMYFUNCTION("IMPORTRANGE(""https://docs.google.com/spreadsheets/d/1MeEWN-I1oV_STSDYn1IFDPWt_1FKiwhDph83XaGc0o0/edit?usp=sharing"",""งบพรบ!EP68"")"),0)</f>
        <v>0</v>
      </c>
      <c r="M336" s="93">
        <f ca="1">IFERROR(__xludf.DUMMYFUNCTION("IMPORTRANGE(""https://docs.google.com/spreadsheets/d/1MeEWN-I1oV_STSDYn1IFDPWt_1FKiwhDph83XaGc0o0/edit?usp=sharing"",""งบพรบ!ES68"")"),0)</f>
        <v>0</v>
      </c>
      <c r="N336" s="93">
        <f ca="1">IFERROR(__xludf.DUMMYFUNCTION("IMPORTRANGE(""https://docs.google.com/spreadsheets/d/1MeEWN-I1oV_STSDYn1IFDPWt_1FKiwhDph83XaGc0o0/edit?usp=sharing"",""งบพรบ!EU68"")"),0)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IFERROR(__xludf.DUMMYFUNCTION("IMPORTRANGE(""https://docs.google.com/spreadsheets/d/1QqKyyYR6Q21VydFLVH3TRQUabQu_ym0Zz7PgGX0-kHA/edit?usp=sharing"",""แผน!EG68"")"),2100)</f>
        <v>2100</v>
      </c>
      <c r="J338" s="270">
        <f ca="1">IFERROR(__xludf.DUMMYFUNCTION("IMPORTRANGE(""https://docs.google.com/spreadsheets/d/1kVcqe37tkHyjCSG3S0O1AXqVkqjo8mSIZil3BcpIysc/edit?usp=sharing"",""ศูนย์!D68"")"),3142)</f>
        <v>3142</v>
      </c>
      <c r="K338" s="497">
        <f ca="1">IF(I338&gt;0,J338*100/I338,0)</f>
        <v>149.61904761904762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IFERROR(__xludf.DUMMYFUNCTION("IMPORTRANGE(""https://docs.google.com/spreadsheets/d/1QqKyyYR6Q21VydFLVH3TRQUabQu_ym0Zz7PgGX0-kHA/edit?usp=sharing"",""แผน!EH68"")"),6)</f>
        <v>6</v>
      </c>
      <c r="J340" s="270">
        <f ca="1">IFERROR(__xludf.DUMMYFUNCTION("IMPORTRANGE(""https://docs.google.com/spreadsheets/d/1kVcqe37tkHyjCSG3S0O1AXqVkqjo8mSIZil3BcpIysc/edit?usp=sharing"",""ศูนย์!E68"")"),6)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IFERROR(__xludf.DUMMYFUNCTION("IMPORTRANGE(""https://docs.google.com/spreadsheets/d/1kVcqe37tkHyjCSG3S0O1AXqVkqjo8mSIZil3BcpIysc/edit?usp=sharing"",""ศูนย์!F68"")"),339)</f>
        <v>339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773600</v>
      </c>
      <c r="M345" s="155">
        <f t="shared" ca="1" si="155"/>
        <v>773600</v>
      </c>
      <c r="N345" s="155">
        <f t="shared" ca="1" si="155"/>
        <v>511701</v>
      </c>
      <c r="O345" s="155">
        <f t="shared" ref="O345:O353" ca="1" si="156">IF(L345&gt;0,N345*100/L345,0)</f>
        <v>66.145423991726986</v>
      </c>
      <c r="P345" s="155">
        <f t="shared" ref="P345:P353" ca="1" si="157">IF(M345&gt;0,N345*100/M345,0)</f>
        <v>66.145423991726986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773600</v>
      </c>
      <c r="M347" s="93">
        <f t="shared" ca="1" si="158"/>
        <v>773600</v>
      </c>
      <c r="N347" s="93">
        <f t="shared" ca="1" si="158"/>
        <v>511701</v>
      </c>
      <c r="O347" s="93">
        <f t="shared" ca="1" si="156"/>
        <v>66.145423991726986</v>
      </c>
      <c r="P347" s="93">
        <f t="shared" ca="1" si="157"/>
        <v>66.145423991726986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720800</v>
      </c>
      <c r="M348" s="497">
        <f t="shared" ca="1" si="159"/>
        <v>720800</v>
      </c>
      <c r="N348" s="497">
        <f t="shared" ca="1" si="159"/>
        <v>458901</v>
      </c>
      <c r="O348" s="497">
        <f t="shared" ca="1" si="156"/>
        <v>63.665510543840178</v>
      </c>
      <c r="P348" s="497">
        <f t="shared" ca="1" si="157"/>
        <v>63.665510543840178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IFERROR(__xludf.DUMMYFUNCTION("IMPORTRANGE(""https://docs.google.com/spreadsheets/d/1MeEWN-I1oV_STSDYn1IFDPWt_1FKiwhDph83XaGc0o0/edit?usp=sharing"",""งบพรบ!EW68"")"),720800)</f>
        <v>720800</v>
      </c>
      <c r="M350" s="93">
        <f ca="1">IFERROR(__xludf.DUMMYFUNCTION("IMPORTRANGE(""https://docs.google.com/spreadsheets/d/1MeEWN-I1oV_STSDYn1IFDPWt_1FKiwhDph83XaGc0o0/edit?usp=sharing"",""งบพรบ!FB68"")"),720800)</f>
        <v>720800</v>
      </c>
      <c r="N350" s="93">
        <f ca="1">IFERROR(__xludf.DUMMYFUNCTION("IMPORTRANGE(""https://docs.google.com/spreadsheets/d/1MeEWN-I1oV_STSDYn1IFDPWt_1FKiwhDph83XaGc0o0/edit?usp=sharing"",""งบพรบ!FD68"")"),458901)</f>
        <v>458901</v>
      </c>
      <c r="O350" s="93">
        <f t="shared" ca="1" si="156"/>
        <v>63.665510543840178</v>
      </c>
      <c r="P350" s="93">
        <f t="shared" ca="1" si="157"/>
        <v>63.665510543840178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52800</v>
      </c>
      <c r="M351" s="497">
        <f t="shared" ca="1" si="160"/>
        <v>52800</v>
      </c>
      <c r="N351" s="497">
        <f t="shared" ca="1" si="160"/>
        <v>52800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IFERROR(__xludf.DUMMYFUNCTION("IMPORTRANGE(""https://docs.google.com/spreadsheets/d/1MeEWN-I1oV_STSDYn1IFDPWt_1FKiwhDph83XaGc0o0/edit?usp=sharing"",""งบพรบ!EZ68"")"),52800)</f>
        <v>52800</v>
      </c>
      <c r="M353" s="93">
        <f ca="1">IFERROR(__xludf.DUMMYFUNCTION("IMPORTRANGE(""https://docs.google.com/spreadsheets/d/1MeEWN-I1oV_STSDYn1IFDPWt_1FKiwhDph83XaGc0o0/edit?usp=sharing"",""งบพรบ!FC68"")"),52800)</f>
        <v>52800</v>
      </c>
      <c r="N353" s="93">
        <f ca="1">IFERROR(__xludf.DUMMYFUNCTION("IMPORTRANGE(""https://docs.google.com/spreadsheets/d/1MeEWN-I1oV_STSDYn1IFDPWt_1FKiwhDph83XaGc0o0/edit?usp=sharing"",""งบพรบ!FE68"")"),52800)</f>
        <v>52800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IFERROR(__xludf.DUMMYFUNCTION("IMPORTRANGE(""https://docs.google.com/spreadsheets/d/1QqKyyYR6Q21VydFLVH3TRQUabQu_ym0Zz7PgGX0-kHA/edit?usp=sharing"",""แผน!EP68"")"),370)</f>
        <v>370</v>
      </c>
      <c r="J355" s="464">
        <f ca="1">J362</f>
        <v>108</v>
      </c>
      <c r="K355" s="465">
        <f ca="1">IF(I355&gt;0,J355*100/I355,0)</f>
        <v>29.189189189189189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IFERROR(__xludf.DUMMYFUNCTION("IMPORTRANGE(""https://docs.google.com/spreadsheets/d/1XWAQStnk-4SwqDmLtmXYiTMKHgktTP8We1SCoS47DrQ/edit?usp=sharing"",""จัดที่ดิน!W68"")"),347)</f>
        <v>347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IFERROR(__xludf.DUMMYFUNCTION("IMPORTRANGE(""https://docs.google.com/spreadsheets/d/1QqKyyYR6Q21VydFLVH3TRQUabQu_ym0Zz7PgGX0-kHA/edit?usp=sharing"",""แผน!EO68"")"),4000)</f>
        <v>4000</v>
      </c>
      <c r="J359" s="270">
        <f ca="1">IFERROR(__xludf.DUMMYFUNCTION("IMPORTRANGE(""https://docs.google.com/spreadsheets/d/1XWAQStnk-4SwqDmLtmXYiTMKHgktTP8We1SCoS47DrQ/edit?usp=sharing"",""จัดที่ดิน!X68"")"),3866.27)</f>
        <v>3866.27</v>
      </c>
      <c r="K359" s="497">
        <f t="shared" ca="1" si="161"/>
        <v>96.656750000000002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IFERROR(__xludf.DUMMYFUNCTION("IMPORTRANGE(""https://docs.google.com/spreadsheets/d/1QqKyyYR6Q21VydFLVH3TRQUabQu_ym0Zz7PgGX0-kHA/edit?usp=sharing"",""แผน!EP68"")"),370)</f>
        <v>370</v>
      </c>
      <c r="J360" s="270">
        <f ca="1">IFERROR(__xludf.DUMMYFUNCTION("IMPORTRANGE(""https://docs.google.com/spreadsheets/d/1XWAQStnk-4SwqDmLtmXYiTMKHgktTP8We1SCoS47DrQ/edit?usp=sharing"",""จัดที่ดิน!Y68"")"),288)</f>
        <v>288</v>
      </c>
      <c r="K360" s="497">
        <f t="shared" ca="1" si="161"/>
        <v>77.837837837837839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IFERROR(__xludf.DUMMYFUNCTION("IMPORTRANGE(""https://docs.google.com/spreadsheets/d/1XWAQStnk-4SwqDmLtmXYiTMKHgktTP8We1SCoS47DrQ/edit?usp=sharing"",""จัดที่ดิน!Z68"")"),3184.94)</f>
        <v>3184.94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IFERROR(__xludf.DUMMYFUNCTION("IMPORTRANGE(""https://docs.google.com/spreadsheets/d/1QqKyyYR6Q21VydFLVH3TRQUabQu_ym0Zz7PgGX0-kHA/edit?usp=sharing"",""แผน!EP68"")"),370)</f>
        <v>370</v>
      </c>
      <c r="J362" s="270">
        <f ca="1">IFERROR(__xludf.DUMMYFUNCTION("IMPORTRANGE(""https://docs.google.com/spreadsheets/d/1XWAQStnk-4SwqDmLtmXYiTMKHgktTP8We1SCoS47DrQ/edit?usp=sharing"",""จัดที่ดิน!AA68"")"),108)</f>
        <v>108</v>
      </c>
      <c r="K362" s="497">
        <f t="shared" ca="1" si="161"/>
        <v>29.189189189189189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IFERROR(__xludf.DUMMYFUNCTION("IMPORTRANGE(""https://docs.google.com/spreadsheets/d/1XWAQStnk-4SwqDmLtmXYiTMKHgktTP8We1SCoS47DrQ/edit?usp=sharing"",""จัดที่ดิน!AB68"")"),1259.05)</f>
        <v>1259.05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500</v>
      </c>
      <c r="J364" s="478">
        <f t="shared" ca="1" si="162"/>
        <v>270</v>
      </c>
      <c r="K364" s="479">
        <f t="shared" ca="1" si="161"/>
        <v>54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IFERROR(__xludf.DUMMYFUNCTION("IMPORTRANGE(""https://docs.google.com/spreadsheets/d/1QqKyyYR6Q21VydFLVH3TRQUabQu_ym0Zz7PgGX0-kHA/edit?usp=sharing"",""แผน!EJ68"")"),20)</f>
        <v>20</v>
      </c>
      <c r="J365" s="490">
        <f ca="1">J372</f>
        <v>15</v>
      </c>
      <c r="K365" s="491">
        <f t="shared" ca="1" si="161"/>
        <v>75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IFERROR(__xludf.DUMMYFUNCTION("IMPORTRANGE(""https://docs.google.com/spreadsheets/d/1XWAQStnk-4SwqDmLtmXYiTMKHgktTP8We1SCoS47DrQ/edit?usp=sharing"",""จัดที่ดิน!E68"")"),47)</f>
        <v>47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IFERROR(__xludf.DUMMYFUNCTION("IMPORTRANGE(""https://docs.google.com/spreadsheets/d/1QqKyyYR6Q21VydFLVH3TRQUabQu_ym0Zz7PgGX0-kHA/edit?usp=sharing"",""แผน!EI68"")"),500)</f>
        <v>500</v>
      </c>
      <c r="J369" s="270">
        <f ca="1">IFERROR(__xludf.DUMMYFUNCTION("IMPORTRANGE(""https://docs.google.com/spreadsheets/d/1XWAQStnk-4SwqDmLtmXYiTMKHgktTP8We1SCoS47DrQ/edit?usp=sharing"",""จัดที่ดิน!F68"")"),585.5)</f>
        <v>585.5</v>
      </c>
      <c r="K369" s="497">
        <f t="shared" ca="1" si="163"/>
        <v>117.1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IFERROR(__xludf.DUMMYFUNCTION("IMPORTRANGE(""https://docs.google.com/spreadsheets/d/1QqKyyYR6Q21VydFLVH3TRQUabQu_ym0Zz7PgGX0-kHA/edit?usp=sharing"",""แผน!EJ68"")"),20)</f>
        <v>20</v>
      </c>
      <c r="J370" s="270">
        <f ca="1">IFERROR(__xludf.DUMMYFUNCTION("IMPORTRANGE(""https://docs.google.com/spreadsheets/d/1XWAQStnk-4SwqDmLtmXYiTMKHgktTP8We1SCoS47DrQ/edit?usp=sharing"",""จัดที่ดิน!G68"")"),31)</f>
        <v>31</v>
      </c>
      <c r="K370" s="497">
        <f t="shared" ca="1" si="163"/>
        <v>155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IFERROR(__xludf.DUMMYFUNCTION("IMPORTRANGE(""https://docs.google.com/spreadsheets/d/1XWAQStnk-4SwqDmLtmXYiTMKHgktTP8We1SCoS47DrQ/edit?usp=sharing"",""จัดที่ดิน!H68"")"),470.13)</f>
        <v>470.13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IFERROR(__xludf.DUMMYFUNCTION("IMPORTRANGE(""https://docs.google.com/spreadsheets/d/1QqKyyYR6Q21VydFLVH3TRQUabQu_ym0Zz7PgGX0-kHA/edit?usp=sharing"",""แผน!EJ68"")"),20)</f>
        <v>20</v>
      </c>
      <c r="J372" s="270">
        <f ca="1">IFERROR(__xludf.DUMMYFUNCTION("IMPORTRANGE(""https://docs.google.com/spreadsheets/d/1XWAQStnk-4SwqDmLtmXYiTMKHgktTP8We1SCoS47DrQ/edit?usp=sharing"",""จัดที่ดิน!I68"")"),15)</f>
        <v>15</v>
      </c>
      <c r="K372" s="497">
        <f t="shared" ca="1" si="163"/>
        <v>75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IFERROR(__xludf.DUMMYFUNCTION("IMPORTRANGE(""https://docs.google.com/spreadsheets/d/1XWAQStnk-4SwqDmLtmXYiTMKHgktTP8We1SCoS47DrQ/edit?usp=sharing"",""จัดที่ดิน!J68"")"),158.7)</f>
        <v>158.69999999999999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IFERROR(__xludf.DUMMYFUNCTION("IMPORTRANGE(""https://docs.google.com/spreadsheets/d/1QqKyyYR6Q21VydFLVH3TRQUabQu_ym0Zz7PgGX0-kHA/edit?usp=sharing"",""แผน!EU68"")"),480)</f>
        <v>480</v>
      </c>
      <c r="J374" s="490">
        <f ca="1">J381</f>
        <v>255</v>
      </c>
      <c r="K374" s="491">
        <f t="shared" ca="1" si="163"/>
        <v>53.125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IFERROR(__xludf.DUMMYFUNCTION("IMPORTRANGE(""https://docs.google.com/spreadsheets/d/1XWAQStnk-4SwqDmLtmXYiTMKHgktTP8We1SCoS47DrQ/edit?usp=sharing"",""จัดที่ดิน!AH68"")"),300)</f>
        <v>300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IFERROR(__xludf.DUMMYFUNCTION("IMPORTRANGE(""https://docs.google.com/spreadsheets/d/1QqKyyYR6Q21VydFLVH3TRQUabQu_ym0Zz7PgGX0-kHA/edit?usp=sharing"",""แผน!ET68"")"),3500)</f>
        <v>3500</v>
      </c>
      <c r="J378" s="270">
        <f ca="1">IFERROR(__xludf.DUMMYFUNCTION("IMPORTRANGE(""https://docs.google.com/spreadsheets/d/1XWAQStnk-4SwqDmLtmXYiTMKHgktTP8We1SCoS47DrQ/edit?usp=sharing"",""จัดที่ดิน!AI68"")"),3280.77)</f>
        <v>3280.77</v>
      </c>
      <c r="K378" s="497">
        <f t="shared" ca="1" si="164"/>
        <v>93.736285714285714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IFERROR(__xludf.DUMMYFUNCTION("IMPORTRANGE(""https://docs.google.com/spreadsheets/d/1QqKyyYR6Q21VydFLVH3TRQUabQu_ym0Zz7PgGX0-kHA/edit?usp=sharing"",""แผน!EU68"")"),480)</f>
        <v>480</v>
      </c>
      <c r="J379" s="270">
        <f ca="1">IFERROR(__xludf.DUMMYFUNCTION("IMPORTRANGE(""https://docs.google.com/spreadsheets/d/1XWAQStnk-4SwqDmLtmXYiTMKHgktTP8We1SCoS47DrQ/edit?usp=sharing"",""จัดที่ดิน!AJ68"")"),420)</f>
        <v>420</v>
      </c>
      <c r="K379" s="497">
        <f t="shared" ca="1" si="164"/>
        <v>87.5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IFERROR(__xludf.DUMMYFUNCTION("IMPORTRANGE(""https://docs.google.com/spreadsheets/d/1XWAQStnk-4SwqDmLtmXYiTMKHgktTP8We1SCoS47DrQ/edit?usp=sharing"",""จัดที่ดิน!AK68"")"),5181.98)</f>
        <v>5181.9799999999996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IFERROR(__xludf.DUMMYFUNCTION("IMPORTRANGE(""https://docs.google.com/spreadsheets/d/1QqKyyYR6Q21VydFLVH3TRQUabQu_ym0Zz7PgGX0-kHA/edit?usp=sharing"",""แผน!EU68"")"),480)</f>
        <v>480</v>
      </c>
      <c r="J381" s="270">
        <f ca="1">IFERROR(__xludf.DUMMYFUNCTION("IMPORTRANGE(""https://docs.google.com/spreadsheets/d/1XWAQStnk-4SwqDmLtmXYiTMKHgktTP8We1SCoS47DrQ/edit?usp=sharing"",""จัดที่ดิน!AL68"")"),255)</f>
        <v>255</v>
      </c>
      <c r="K381" s="497">
        <f t="shared" ca="1" si="164"/>
        <v>53.125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IFERROR(__xludf.DUMMYFUNCTION("IMPORTRANGE(""https://docs.google.com/spreadsheets/d/1XWAQStnk-4SwqDmLtmXYiTMKHgktTP8We1SCoS47DrQ/edit?usp=sharing"",""จัดที่ดิน!AM68"")"),3557.74)</f>
        <v>3557.74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IFERROR(__xludf.DUMMYFUNCTION("IMPORTRANGE(""https://docs.google.com/spreadsheets/d/1QqKyyYR6Q21VydFLVH3TRQUabQu_ym0Zz7PgGX0-kHA/edit?usp=sharing"",""แผน!EW68"")"),10)</f>
        <v>10</v>
      </c>
      <c r="J385" s="501">
        <f ca="1">IFERROR(__xludf.DUMMYFUNCTION("IMPORTRANGE(""https://docs.google.com/spreadsheets/d/1XWAQStnk-4SwqDmLtmXYiTMKHgktTP8We1SCoS47DrQ/edit?usp=sharing"",""จัดที่ดิน!AP68"")"),20)</f>
        <v>20</v>
      </c>
      <c r="K385" s="502">
        <f ca="1">IF(I385&gt;0,J385*100/I385,0)</f>
        <v>200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IFERROR(__xludf.DUMMYFUNCTION("IMPORTRANGE(""https://docs.google.com/spreadsheets/d/1MeEWN-I1oV_STSDYn1IFDPWt_1FKiwhDph83XaGc0o0/edit?usp=sharing"",""งบพรบ!FG68"")"),0)</f>
        <v>0</v>
      </c>
      <c r="M394" s="93">
        <f ca="1">IFERROR(__xludf.DUMMYFUNCTION("IMPORTRANGE(""https://docs.google.com/spreadsheets/d/1MeEWN-I1oV_STSDYn1IFDPWt_1FKiwhDph83XaGc0o0/edit?usp=sharing"",""งบพรบ!FL68"")"),0)</f>
        <v>0</v>
      </c>
      <c r="N394" s="93">
        <f ca="1">IFERROR(__xludf.DUMMYFUNCTION("IMPORTRANGE(""https://docs.google.com/spreadsheets/d/1MeEWN-I1oV_STSDYn1IFDPWt_1FKiwhDph83XaGc0o0/edit?usp=sharing"",""งบพรบ!FN68"")"),0)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IFERROR(__xludf.DUMMYFUNCTION("IMPORTRANGE(""https://docs.google.com/spreadsheets/d/1MeEWN-I1oV_STSDYn1IFDPWt_1FKiwhDph83XaGc0o0/edit?usp=sharing"",""งบพรบ!FJ68"")"),0)</f>
        <v>0</v>
      </c>
      <c r="M397" s="93">
        <f ca="1">IFERROR(__xludf.DUMMYFUNCTION("IMPORTRANGE(""https://docs.google.com/spreadsheets/d/1MeEWN-I1oV_STSDYn1IFDPWt_1FKiwhDph83XaGc0o0/edit?usp=sharing"",""งบพรบ!FM68"")"),0)</f>
        <v>0</v>
      </c>
      <c r="N397" s="93">
        <f ca="1">IFERROR(__xludf.DUMMYFUNCTION("IMPORTRANGE(""https://docs.google.com/spreadsheets/d/1MeEWN-I1oV_STSDYn1IFDPWt_1FKiwhDph83XaGc0o0/edit?usp=sharing"",""งบพรบ!FO68"")"),0)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IFERROR(__xludf.DUMMYFUNCTION("IMPORTRANGE(""https://docs.google.com/spreadsheets/d/1MeEWN-I1oV_STSDYn1IFDPWt_1FKiwhDph83XaGc0o0/edit?usp=sharing"",""งบพรบ!FQ68"")"),0)</f>
        <v>0</v>
      </c>
      <c r="M407" s="93">
        <f ca="1">IFERROR(__xludf.DUMMYFUNCTION("IMPORTRANGE(""https://docs.google.com/spreadsheets/d/1MeEWN-I1oV_STSDYn1IFDPWt_1FKiwhDph83XaGc0o0/edit?usp=sharing"",""งบพรบ!FV68"")"),0)</f>
        <v>0</v>
      </c>
      <c r="N407" s="93">
        <f ca="1">IFERROR(__xludf.DUMMYFUNCTION("IMPORTRANGE(""https://docs.google.com/spreadsheets/d/1MeEWN-I1oV_STSDYn1IFDPWt_1FKiwhDph83XaGc0o0/edit?usp=sharing"",""งบพรบ!FX68"")"),0)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IFERROR(__xludf.DUMMYFUNCTION("IMPORTRANGE(""https://docs.google.com/spreadsheets/d/1MeEWN-I1oV_STSDYn1IFDPWt_1FKiwhDph83XaGc0o0/edit?usp=sharing"",""งบพรบ!FT68"")"),0)</f>
        <v>0</v>
      </c>
      <c r="M410" s="93">
        <f ca="1">IFERROR(__xludf.DUMMYFUNCTION("IMPORTRANGE(""https://docs.google.com/spreadsheets/d/1MeEWN-I1oV_STSDYn1IFDPWt_1FKiwhDph83XaGc0o0/edit?usp=sharing"",""งบพรบ!FW68"")"),0)</f>
        <v>0</v>
      </c>
      <c r="N410" s="93">
        <f ca="1">IFERROR(__xludf.DUMMYFUNCTION("IMPORTRANGE(""https://docs.google.com/spreadsheets/d/1MeEWN-I1oV_STSDYn1IFDPWt_1FKiwhDph83XaGc0o0/edit?usp=sharing"",""งบพรบ!FY68"")"),0)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2538240</v>
      </c>
      <c r="M414" s="549">
        <f t="shared" ca="1" si="181"/>
        <v>2530140</v>
      </c>
      <c r="N414" s="549">
        <f t="shared" si="181"/>
        <v>967767.59</v>
      </c>
      <c r="O414" s="549">
        <f ca="1">IF(L414&gt;0,N414*100/L414,0)</f>
        <v>38.127505279248616</v>
      </c>
      <c r="P414" s="549">
        <f ca="1">IF(M414&gt;0,N414*100/M414,0)</f>
        <v>38.249566822389276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70</v>
      </c>
      <c r="J417" s="565">
        <f t="shared" ca="1" si="182"/>
        <v>70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233500</v>
      </c>
      <c r="M419" s="155">
        <f t="shared" ca="1" si="184"/>
        <v>225400</v>
      </c>
      <c r="N419" s="155">
        <f t="shared" si="184"/>
        <v>195880</v>
      </c>
      <c r="O419" s="155">
        <f t="shared" ref="O419:O424" ca="1" si="185">IF(L419&gt;0,N419*100/L419,0)</f>
        <v>83.888650963597428</v>
      </c>
      <c r="P419" s="155">
        <f t="shared" ref="P419:P424" ca="1" si="186">IF(M419&gt;0,N419*100/M419,0)</f>
        <v>86.90328305235137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233500</v>
      </c>
      <c r="M421" s="93">
        <f t="shared" ca="1" si="187"/>
        <v>225400</v>
      </c>
      <c r="N421" s="93">
        <f t="shared" si="187"/>
        <v>195880</v>
      </c>
      <c r="O421" s="93">
        <f t="shared" ca="1" si="185"/>
        <v>83.888650963597428</v>
      </c>
      <c r="P421" s="93">
        <f t="shared" ca="1" si="186"/>
        <v>86.90328305235137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233500</v>
      </c>
      <c r="M422" s="497">
        <f t="shared" ca="1" si="188"/>
        <v>225400</v>
      </c>
      <c r="N422" s="497">
        <f t="shared" si="188"/>
        <v>195880</v>
      </c>
      <c r="O422" s="497">
        <f t="shared" ca="1" si="185"/>
        <v>83.888650963597428</v>
      </c>
      <c r="P422" s="497">
        <f t="shared" ca="1" si="186"/>
        <v>86.90328305235137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IFERROR(__xludf.DUMMYFUNCTION("IMPORTRANGE(""https://docs.google.com/spreadsheets/d/1QqKyyYR6Q21VydFLVH3TRQUabQu_ym0Zz7PgGX0-kHA/edit?usp=sharing"",""แผน!EY68"")"),233500)</f>
        <v>233500</v>
      </c>
      <c r="M424" s="93">
        <f ca="1">L424-8100</f>
        <v>225400</v>
      </c>
      <c r="N424" s="93">
        <f>N425+N426+N427+N428</f>
        <v>195880</v>
      </c>
      <c r="O424" s="93">
        <f t="shared" ca="1" si="185"/>
        <v>83.888650963597428</v>
      </c>
      <c r="P424" s="93">
        <f t="shared" ca="1" si="186"/>
        <v>86.90328305235137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182540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13340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70</v>
      </c>
      <c r="J433" s="676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IFERROR(__xludf.DUMMYFUNCTION("IMPORTRANGE(""https://docs.google.com/spreadsheets/d/1QqKyyYR6Q21VydFLVH3TRQUabQu_ym0Zz7PgGX0-kHA/edit?usp=sharing"",""แผน!FC68"")"),70)</f>
        <v>70</v>
      </c>
      <c r="J435" s="579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IFERROR(__xludf.DUMMYFUNCTION("IMPORTRANGE(""https://docs.google.com/spreadsheets/d/1QqKyyYR6Q21VydFLVH3TRQUabQu_ym0Zz7PgGX0-kHA/edit?usp=sharing"",""แผน!FD68"")"),40)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IFERROR(__xludf.DUMMYFUNCTION("IMPORTRANGE(""https://docs.google.com/spreadsheets/d/1QqKyyYR6Q21VydFLVH3TRQUabQu_ym0Zz7PgGX0-kHA/edit?usp=sharing"",""แผน!FE68"")"),1)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IFERROR(__xludf.DUMMYFUNCTION("IMPORTRANGE(""https://docs.google.com/spreadsheets/d/1QqKyyYR6Q21VydFLVH3TRQUabQu_ym0Zz7PgGX0-kHA/edit?usp=sharing"",""แผน!FF68"")"),30)</f>
        <v>30</v>
      </c>
      <c r="J439" s="579">
        <v>30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65</v>
      </c>
      <c r="J443" s="565">
        <f t="shared" si="196"/>
        <v>65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312380</v>
      </c>
      <c r="M444" s="195">
        <f t="shared" ca="1" si="197"/>
        <v>312380</v>
      </c>
      <c r="N444" s="195">
        <f t="shared" si="197"/>
        <v>198706</v>
      </c>
      <c r="O444" s="195">
        <f t="shared" ref="O444:O449" ca="1" si="198">IF(L444&gt;0,N444*100/L444,0)</f>
        <v>63.610346373007232</v>
      </c>
      <c r="P444" s="195">
        <f t="shared" ref="P444:P449" ca="1" si="199">IF(M444&gt;0,N444*100/M444,0)</f>
        <v>63.610346373007232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312380</v>
      </c>
      <c r="M446" s="93">
        <f t="shared" ca="1" si="200"/>
        <v>312380</v>
      </c>
      <c r="N446" s="93">
        <f t="shared" si="200"/>
        <v>198706</v>
      </c>
      <c r="O446" s="93">
        <f t="shared" ca="1" si="198"/>
        <v>63.610346373007232</v>
      </c>
      <c r="P446" s="93">
        <f t="shared" ca="1" si="199"/>
        <v>63.610346373007232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312380</v>
      </c>
      <c r="M447" s="497">
        <f t="shared" ca="1" si="201"/>
        <v>312380</v>
      </c>
      <c r="N447" s="497">
        <f t="shared" si="201"/>
        <v>198706</v>
      </c>
      <c r="O447" s="497">
        <f t="shared" ca="1" si="198"/>
        <v>63.610346373007232</v>
      </c>
      <c r="P447" s="497">
        <f t="shared" ca="1" si="199"/>
        <v>63.610346373007232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IFERROR(__xludf.DUMMYFUNCTION("IMPORTRANGE(""https://docs.google.com/spreadsheets/d/1QqKyyYR6Q21VydFLVH3TRQUabQu_ym0Zz7PgGX0-kHA/edit?usp=sharing"",""แผน!FJ68"")"),312380)</f>
        <v>312380</v>
      </c>
      <c r="M449" s="93">
        <f ca="1">L449</f>
        <v>312380</v>
      </c>
      <c r="N449" s="93">
        <f>N450+N451+N452+N453</f>
        <v>198706</v>
      </c>
      <c r="O449" s="93">
        <f t="shared" ca="1" si="198"/>
        <v>63.610346373007232</v>
      </c>
      <c r="P449" s="93">
        <f t="shared" ca="1" si="199"/>
        <v>63.610346373007232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55570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75500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64146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3490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IFERROR(__xludf.DUMMYFUNCTION("IMPORTRANGE(""https://docs.google.com/spreadsheets/d/1QqKyyYR6Q21VydFLVH3TRQUabQu_ym0Zz7PgGX0-kHA/edit?usp=sharing"",""แผน!FN68"")"),40)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IFERROR(__xludf.DUMMYFUNCTION("IMPORTRANGE(""https://docs.google.com/spreadsheets/d/1QqKyyYR6Q21VydFLVH3TRQUabQu_ym0Zz7PgGX0-kHA/edit?usp=sharing"",""แผน!FO68"")"),65)</f>
        <v>65</v>
      </c>
      <c r="J462" s="215">
        <v>65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IFERROR(__xludf.DUMMYFUNCTION("IMPORTRANGE(""https://docs.google.com/spreadsheets/d/1QqKyyYR6Q21VydFLVH3TRQUabQu_ym0Zz7PgGX0-kHA/edit?usp=sharing"",""แผน!FO68"")"),65)</f>
        <v>65</v>
      </c>
      <c r="J463" s="215">
        <v>65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IFERROR(__xludf.DUMMYFUNCTION("IMPORTRANGE(""https://docs.google.com/spreadsheets/d/1QqKyyYR6Q21VydFLVH3TRQUabQu_ym0Zz7PgGX0-kHA/edit?usp=sharing"",""แผน!FN68"")"),40)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IFERROR(__xludf.DUMMYFUNCTION("IMPORTRANGE(""https://docs.google.com/spreadsheets/d/1QqKyyYR6Q21VydFLVH3TRQUabQu_ym0Zz7PgGX0-kHA/edit?usp=sharing"",""แผน!FX68"")"),131)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IFERROR(__xludf.DUMMYFUNCTION("IMPORTRANGE(""https://docs.google.com/spreadsheets/d/1QqKyyYR6Q21VydFLVH3TRQUabQu_ym0Zz7PgGX0-kHA/edit?usp=sharing"",""แผน!FW68"")"),1300)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1166488</v>
      </c>
      <c r="M467" s="195">
        <f t="shared" ca="1" si="206"/>
        <v>1166488</v>
      </c>
      <c r="N467" s="195">
        <f t="shared" si="206"/>
        <v>237252</v>
      </c>
      <c r="O467" s="195">
        <f t="shared" ref="O467:O472" ca="1" si="207">IF(L467&gt;0,N467*100/L467,0)</f>
        <v>20.339000486931713</v>
      </c>
      <c r="P467" s="195">
        <f t="shared" ref="P467:P472" ca="1" si="208">IF(M467&gt;0,N467*100/M467,0)</f>
        <v>20.339000486931713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1166488</v>
      </c>
      <c r="M469" s="93">
        <f t="shared" ca="1" si="209"/>
        <v>1166488</v>
      </c>
      <c r="N469" s="93">
        <f t="shared" si="209"/>
        <v>237252</v>
      </c>
      <c r="O469" s="93">
        <f t="shared" ca="1" si="207"/>
        <v>20.339000486931713</v>
      </c>
      <c r="P469" s="93">
        <f t="shared" ca="1" si="208"/>
        <v>20.339000486931713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1166488</v>
      </c>
      <c r="M470" s="497">
        <f t="shared" ca="1" si="210"/>
        <v>1166488</v>
      </c>
      <c r="N470" s="497">
        <f t="shared" si="210"/>
        <v>237252</v>
      </c>
      <c r="O470" s="497">
        <f t="shared" ca="1" si="207"/>
        <v>20.339000486931713</v>
      </c>
      <c r="P470" s="497">
        <f t="shared" ca="1" si="208"/>
        <v>20.339000486931713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IFERROR(__xludf.DUMMYFUNCTION("IMPORTRANGE(""https://docs.google.com/spreadsheets/d/1QqKyyYR6Q21VydFLVH3TRQUabQu_ym0Zz7PgGX0-kHA/edit?usp=sharing"",""แผน!FS68"")"),1166488)</f>
        <v>1166488</v>
      </c>
      <c r="M472" s="93">
        <f ca="1">L472</f>
        <v>1166488</v>
      </c>
      <c r="N472" s="93">
        <f>N473+N474+N475+N476</f>
        <v>237252</v>
      </c>
      <c r="O472" s="93">
        <f t="shared" ca="1" si="207"/>
        <v>20.339000486931713</v>
      </c>
      <c r="P472" s="93">
        <f t="shared" ca="1" si="208"/>
        <v>20.339000486931713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151800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78000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7452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36182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451282</v>
      </c>
      <c r="M544" s="155">
        <f t="shared" ca="1" si="236"/>
        <v>451282</v>
      </c>
      <c r="N544" s="155">
        <f t="shared" si="236"/>
        <v>211706</v>
      </c>
      <c r="O544" s="155">
        <f t="shared" ref="O544:O549" ca="1" si="237">IF(L544&gt;0,N544*100/L544,0)</f>
        <v>46.912130330923901</v>
      </c>
      <c r="P544" s="155">
        <f t="shared" ref="P544:P549" ca="1" si="238">IF(M544&gt;0,N544*100/M544,0)</f>
        <v>46.912130330923901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451282</v>
      </c>
      <c r="M546" s="93">
        <f t="shared" ca="1" si="240"/>
        <v>451282</v>
      </c>
      <c r="N546" s="93">
        <f t="shared" si="240"/>
        <v>211706</v>
      </c>
      <c r="O546" s="93">
        <f t="shared" ca="1" si="237"/>
        <v>46.912130330923901</v>
      </c>
      <c r="P546" s="93">
        <f t="shared" ca="1" si="238"/>
        <v>46.912130330923901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451282</v>
      </c>
      <c r="M547" s="497">
        <f t="shared" ca="1" si="241"/>
        <v>451282</v>
      </c>
      <c r="N547" s="497">
        <f t="shared" si="241"/>
        <v>211706</v>
      </c>
      <c r="O547" s="497">
        <f t="shared" ca="1" si="237"/>
        <v>46.912130330923901</v>
      </c>
      <c r="P547" s="497">
        <f t="shared" ca="1" si="238"/>
        <v>46.912130330923901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IFERROR(__xludf.DUMMYFUNCTION("IMPORTRANGE(""https://docs.google.com/spreadsheets/d/1QqKyyYR6Q21VydFLVH3TRQUabQu_ym0Zz7PgGX0-kHA/edit?usp=sharing"",""แผน!HB68"")"),451282)</f>
        <v>451282</v>
      </c>
      <c r="M549" s="93">
        <f ca="1">L549</f>
        <v>451282</v>
      </c>
      <c r="N549" s="93">
        <f>N550+N551+N552+N553+N554</f>
        <v>211706</v>
      </c>
      <c r="O549" s="93">
        <f t="shared" ca="1" si="237"/>
        <v>46.912130330923901</v>
      </c>
      <c r="P549" s="93">
        <f t="shared" ca="1" si="238"/>
        <v>46.912130330923901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77566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134140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36182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IFERROR(__xludf.DUMMYFUNCTION("IMPORTRANGE(""https://docs.google.com/spreadsheets/d/1QqKyyYR6Q21VydFLVH3TRQUabQu_ym0Zz7PgGX0-kHA/edit?usp=sharing"",""แผน!HH68"")"),36182)</f>
        <v>36182</v>
      </c>
      <c r="J560" s="193">
        <f t="shared" ref="J560:J561" si="247">J562+J564+J566</f>
        <v>36182.370000000003</v>
      </c>
      <c r="K560" s="411">
        <f t="shared" ca="1" si="246"/>
        <v>100.0010226079266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IFERROR(__xludf.DUMMYFUNCTION("IMPORTRANGE(""https://docs.google.com/spreadsheets/d/1QqKyyYR6Q21VydFLVH3TRQUabQu_ym0Zz7PgGX0-kHA/edit?usp=sharing"",""แผน!HG68"")"),3060)</f>
        <v>3060</v>
      </c>
      <c r="J561" s="193">
        <f t="shared" si="247"/>
        <v>3060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24667.96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2086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11033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937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481.41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37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IFERROR(__xludf.DUMMYFUNCTION("IMPORTRANGE(""https://docs.google.com/spreadsheets/d/1QqKyyYR6Q21VydFLVH3TRQUabQu_ym0Zz7PgGX0-kHA/edit?usp=sharing"",""แผน!HH68"")"),36182)</f>
        <v>36182</v>
      </c>
      <c r="J568" s="676">
        <f t="shared" ref="J568:J569" si="248">J570+J572+J574</f>
        <v>36182.44</v>
      </c>
      <c r="K568" s="411">
        <f t="shared" ref="K568:K569" ca="1" si="249">IF(I568&gt;0,J568*100/I568,0)</f>
        <v>100.00121607429108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IFERROR(__xludf.DUMMYFUNCTION("IMPORTRANGE(""https://docs.google.com/spreadsheets/d/1QqKyyYR6Q21VydFLVH3TRQUabQu_ym0Zz7PgGX0-kHA/edit?usp=sharing"",""แผน!HG68"")"),3060)</f>
        <v>3060</v>
      </c>
      <c r="J569" s="676">
        <f t="shared" si="248"/>
        <v>3060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24641.48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2085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10990.31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933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550.65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42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IFERROR(__xludf.DUMMYFUNCTION("IMPORTRANGE(""https://docs.google.com/spreadsheets/d/1QqKyyYR6Q21VydFLVH3TRQUabQu_ym0Zz7PgGX0-kHA/edit?usp=sharing"",""แผน!HH68"")"),36182)</f>
        <v>36182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IFERROR(__xludf.DUMMYFUNCTION("IMPORTRANGE(""https://docs.google.com/spreadsheets/d/1QqKyyYR6Q21VydFLVH3TRQUabQu_ym0Zz7PgGX0-kHA/edit?usp=sharing"",""แผน!HG68"")"),3060)</f>
        <v>3060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7807.08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IFERROR(__xludf.DUMMYFUNCTION("IMPORTRANGE(""https://docs.google.com/spreadsheets/d/1QqKyyYR6Q21VydFLVH3TRQUabQu_ym0Zz7PgGX0-kHA/edit?usp=sharing"",""แผน!HJ68"")"),7807.08)</f>
        <v>7807.08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IFERROR(__xludf.DUMMYFUNCTION("IMPORTRANGE(""https://docs.google.com/spreadsheets/d/1QqKyyYR6Q21VydFLVH3TRQUabQu_ym0Zz7PgGX0-kHA/edit?usp=sharing"",""แผน!HI68"")"),361)</f>
        <v>361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IFERROR(__xludf.DUMMYFUNCTION("IMPORTRANGE(""https://docs.google.com/spreadsheets/d/1QqKyyYR6Q21VydFLVH3TRQUabQu_ym0Zz7PgGX0-kHA/edit?usp=sharing"",""แผน!HL68"")"),5)</f>
        <v>5</v>
      </c>
      <c r="J620" s="723">
        <f t="shared" ref="J620:J621" si="260">J622+J624+J626</f>
        <v>5</v>
      </c>
      <c r="K620" s="724">
        <f t="shared" ref="K620:K621" ca="1" si="261">IF(I620&gt;0,J620*100/I620,0)</f>
        <v>100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IFERROR(__xludf.DUMMYFUNCTION("IMPORTRANGE(""https://docs.google.com/spreadsheets/d/1QqKyyYR6Q21VydFLVH3TRQUabQu_ym0Zz7PgGX0-kHA/edit?usp=sharing"",""แผน!HK68"")"),8)</f>
        <v>8</v>
      </c>
      <c r="J621" s="723">
        <f t="shared" si="260"/>
        <v>8</v>
      </c>
      <c r="K621" s="724">
        <f t="shared" ca="1" si="261"/>
        <v>100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341770</v>
      </c>
      <c r="M629" s="195">
        <f t="shared" ca="1" si="263"/>
        <v>341770</v>
      </c>
      <c r="N629" s="195">
        <f t="shared" si="263"/>
        <v>117551.59</v>
      </c>
      <c r="O629" s="195">
        <f t="shared" ref="O629:O634" ca="1" si="264">IF(L629&gt;0,N629*100/L629,0)</f>
        <v>34.394941042221376</v>
      </c>
      <c r="P629" s="195">
        <f t="shared" ref="P629:P634" ca="1" si="265">IF(M629&gt;0,N629*100/M629,0)</f>
        <v>34.394941042221376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341770</v>
      </c>
      <c r="M631" s="93">
        <f t="shared" ca="1" si="266"/>
        <v>341770</v>
      </c>
      <c r="N631" s="93">
        <f t="shared" si="266"/>
        <v>117551.59</v>
      </c>
      <c r="O631" s="93">
        <f t="shared" ca="1" si="264"/>
        <v>34.394941042221376</v>
      </c>
      <c r="P631" s="93">
        <f t="shared" ca="1" si="265"/>
        <v>34.394941042221376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341770</v>
      </c>
      <c r="M632" s="497">
        <f t="shared" ca="1" si="267"/>
        <v>341770</v>
      </c>
      <c r="N632" s="497">
        <f t="shared" si="267"/>
        <v>117551.59</v>
      </c>
      <c r="O632" s="497">
        <f t="shared" ca="1" si="264"/>
        <v>34.394941042221376</v>
      </c>
      <c r="P632" s="497">
        <f t="shared" ca="1" si="265"/>
        <v>34.394941042221376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IFERROR(__xludf.DUMMYFUNCTION("IMPORTRANGE(""https://docs.google.com/spreadsheets/d/1QqKyyYR6Q21VydFLVH3TRQUabQu_ym0Zz7PgGX0-kHA/edit?usp=sharing"",""แผน!HN68"")"),341770)</f>
        <v>341770</v>
      </c>
      <c r="M634" s="93">
        <f ca="1">L634</f>
        <v>341770</v>
      </c>
      <c r="N634" s="93">
        <f>N635+N636+N637+N638</f>
        <v>117551.59</v>
      </c>
      <c r="O634" s="93">
        <f t="shared" ca="1" si="264"/>
        <v>34.394941042221376</v>
      </c>
      <c r="P634" s="93">
        <f t="shared" ca="1" si="265"/>
        <v>34.394941042221376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91000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26551.59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IFERROR(__xludf.DUMMYFUNCTION("IMPORTRANGE(""https://docs.google.com/spreadsheets/d/1XWAQStnk-4SwqDmLtmXYiTMKHgktTP8We1SCoS47DrQ/edit?usp=sharing"",""จัดที่ดิน!AS68"")"),69)</f>
        <v>69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IFERROR(__xludf.DUMMYFUNCTION("IMPORTRANGE(""https://docs.google.com/spreadsheets/d/1XWAQStnk-4SwqDmLtmXYiTMKHgktTP8We1SCoS47DrQ/edit?usp=sharing"",""จัดที่ดิน!AT68"")"),38.51)</f>
        <v>38.51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IFERROR(__xludf.DUMMYFUNCTION("IMPORTRANGE(""https://docs.google.com/spreadsheets/d/1QqKyyYR6Q21VydFLVH3TRQUabQu_ym0Zz7PgGX0-kHA/edit?usp=sharing"",""แผน!HS68"")"),70)</f>
        <v>70</v>
      </c>
      <c r="J647" s="270">
        <f ca="1">IFERROR(__xludf.DUMMYFUNCTION("IMPORTRANGE(""https://docs.google.com/spreadsheets/d/1XWAQStnk-4SwqDmLtmXYiTMKHgktTP8We1SCoS47DrQ/edit?usp=sharing"",""จัดที่ดิน!AU68"")"),25)</f>
        <v>25</v>
      </c>
      <c r="K647" s="163">
        <f t="shared" ca="1" si="271"/>
        <v>35.714285714285715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IFERROR(__xludf.DUMMYFUNCTION("IMPORTRANGE(""https://docs.google.com/spreadsheets/d/1XWAQStnk-4SwqDmLtmXYiTMKHgktTP8We1SCoS47DrQ/edit?usp=sharing"",""จัดที่ดิน!AV68"")"),15.03)</f>
        <v>15.03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IFERROR(__xludf.DUMMYFUNCTION("IMPORTRANGE(""https://docs.google.com/spreadsheets/d/1QqKyyYR6Q21VydFLVH3TRQUabQu_ym0Zz7PgGX0-kHA/edit?usp=sharing"",""แผน!HS68"")"),70)</f>
        <v>70</v>
      </c>
      <c r="J649" s="270">
        <f ca="1">IFERROR(__xludf.DUMMYFUNCTION("IMPORTRANGE(""https://docs.google.com/spreadsheets/d/1XWAQStnk-4SwqDmLtmXYiTMKHgktTP8We1SCoS47DrQ/edit?usp=sharing"",""จัดที่ดิน!AW68"")"),0)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IFERROR(__xludf.DUMMYFUNCTION("IMPORTRANGE(""https://docs.google.com/spreadsheets/d/1QqKyyYR6Q21VydFLVH3TRQUabQu_ym0Zz7PgGX0-kHA/edit?usp=sharing"",""แผน!HS68"")"),70)</f>
        <v>70</v>
      </c>
      <c r="J651" s="270">
        <f ca="1">IFERROR(__xludf.DUMMYFUNCTION("IMPORTRANGE(""https://docs.google.com/spreadsheets/d/1XWAQStnk-4SwqDmLtmXYiTMKHgktTP8We1SCoS47DrQ/edit?usp=sharing"",""จัดที่ดิน!AY68"")"),0)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3980</v>
      </c>
      <c r="O655" s="195">
        <f t="shared" ref="O655:O660" ca="1" si="274">IF(L655&gt;0,N655*100/L655,0)</f>
        <v>36.18181818181818</v>
      </c>
      <c r="P655" s="195">
        <f t="shared" ref="P655:P660" ca="1" si="275">IF(M655&gt;0,N655*100/M655,0)</f>
        <v>36.18181818181818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3980</v>
      </c>
      <c r="O657" s="93">
        <f t="shared" ca="1" si="274"/>
        <v>36.18181818181818</v>
      </c>
      <c r="P657" s="93">
        <f t="shared" ca="1" si="275"/>
        <v>36.18181818181818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3980</v>
      </c>
      <c r="O658" s="497">
        <f t="shared" ca="1" si="274"/>
        <v>36.18181818181818</v>
      </c>
      <c r="P658" s="497">
        <f t="shared" ca="1" si="275"/>
        <v>36.18181818181818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IFERROR(__xludf.DUMMYFUNCTION("IMPORTRANGE(""https://docs.google.com/spreadsheets/d/1QqKyyYR6Q21VydFLVH3TRQUabQu_ym0Zz7PgGX0-kHA/edit?usp=sharing"",""แผน!HV68"")"),11000)</f>
        <v>11000</v>
      </c>
      <c r="M660" s="93">
        <f ca="1">L660</f>
        <v>11000</v>
      </c>
      <c r="N660" s="93">
        <f>N661+N662+N663+N664</f>
        <v>3980</v>
      </c>
      <c r="O660" s="93">
        <f t="shared" ca="1" si="274"/>
        <v>36.18181818181818</v>
      </c>
      <c r="P660" s="93">
        <f t="shared" ca="1" si="275"/>
        <v>36.18181818181818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3980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IFERROR(__xludf.DUMMYFUNCTION("IMPORTRANGE(""https://docs.google.com/spreadsheets/d/1QqKyyYR6Q21VydFLVH3TRQUabQu_ym0Zz7PgGX0-kHA/edit?usp=sharing"",""แผน!IA68"")"),50)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IFERROR(__xludf.DUMMYFUNCTION("IMPORTRANGE(""https://docs.google.com/spreadsheets/d/1QqKyyYR6Q21VydFLVH3TRQUabQu_ym0Zz7PgGX0-kHA/edit?usp=sharing"",""แผน!HZ68"")"),5)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IFERROR(__xludf.DUMMYFUNCTION("IMPORTRANGE(""https://docs.google.com/spreadsheets/d/1QqKyyYR6Q21VydFLVH3TRQUabQu_ym0Zz7PgGX0-kHA/edit?usp=sharing"",""แผน!HZ68"")"),5)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21820</v>
      </c>
      <c r="M685" s="195">
        <f t="shared" ca="1" si="282"/>
        <v>21820</v>
      </c>
      <c r="N685" s="195">
        <f t="shared" si="282"/>
        <v>2692</v>
      </c>
      <c r="O685" s="195">
        <f t="shared" ref="O685:O688" ca="1" si="283">IF(L685&gt;0,N685*100/L685,0)</f>
        <v>12.33730522456462</v>
      </c>
      <c r="P685" s="195">
        <f t="shared" ref="P685:P688" ca="1" si="284">IF(M685&gt;0,N685*100/M685,0)</f>
        <v>12.33730522456462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21820</v>
      </c>
      <c r="M687" s="93">
        <f t="shared" ca="1" si="285"/>
        <v>21820</v>
      </c>
      <c r="N687" s="93">
        <f t="shared" si="285"/>
        <v>2692</v>
      </c>
      <c r="O687" s="93">
        <f t="shared" ca="1" si="283"/>
        <v>12.33730522456462</v>
      </c>
      <c r="P687" s="93">
        <f t="shared" ca="1" si="284"/>
        <v>12.33730522456462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21820</v>
      </c>
      <c r="M688" s="497">
        <f t="shared" ca="1" si="286"/>
        <v>21820</v>
      </c>
      <c r="N688" s="497">
        <f t="shared" si="286"/>
        <v>2692</v>
      </c>
      <c r="O688" s="497">
        <f t="shared" ca="1" si="283"/>
        <v>12.33730522456462</v>
      </c>
      <c r="P688" s="497">
        <f t="shared" ca="1" si="284"/>
        <v>12.33730522456462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IFERROR(__xludf.DUMMYFUNCTION("IMPORTRANGE(""https://docs.google.com/spreadsheets/d/1QqKyyYR6Q21VydFLVH3TRQUabQu_ym0Zz7PgGX0-kHA/edit?usp=sharing"",""แผน!HW68"")"),21820)</f>
        <v>21820</v>
      </c>
      <c r="M690" s="93">
        <f ca="1">L690</f>
        <v>21820</v>
      </c>
      <c r="N690" s="93">
        <f>N691+N692+N693+N694</f>
        <v>2692</v>
      </c>
      <c r="O690" s="93">
        <f ca="1">IF(L690&gt;0,N690*100/L690,0)</f>
        <v>12.33730522456462</v>
      </c>
      <c r="P690" s="93">
        <f ca="1">IF(M690&gt;0,N690*100/M690,0)</f>
        <v>12.33730522456462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2692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IFERROR(__xludf.DUMMYFUNCTION("IMPORTRANGE(""https://docs.google.com/spreadsheets/d/1QqKyyYR6Q21VydFLVH3TRQUabQu_ym0Zz7PgGX0-kHA/edit?usp=sharing"",""แผน!IC68"")"),10)</f>
        <v>10</v>
      </c>
      <c r="J699" s="270">
        <f ca="1">IFERROR(__xludf.DUMMYFUNCTION("IMPORTRANGE(""https://docs.google.com/spreadsheets/d/1XWAQStnk-4SwqDmLtmXYiTMKHgktTP8We1SCoS47DrQ/edit?usp=sharing"",""จัดที่ดิน!BB68"")"),0)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IFERROR(__xludf.DUMMYFUNCTION("IMPORTRANGE(""https://docs.google.com/spreadsheets/d/1QqKyyYR6Q21VydFLVH3TRQUabQu_ym0Zz7PgGX0-kHA/edit?usp=sharing"",""แผน!ID68"")"),1)</f>
        <v>1</v>
      </c>
      <c r="J700" s="270">
        <f ca="1">IFERROR(__xludf.DUMMYFUNCTION("IMPORTRANGE(""https://docs.google.com/spreadsheets/d/1XWAQStnk-4SwqDmLtmXYiTMKHgktTP8We1SCoS47DrQ/edit?usp=sharing"",""จัดที่ดิน!BD68"")"),0)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IFERROR(__xludf.DUMMYFUNCTION("IMPORTRANGE(""https://docs.google.com/spreadsheets/d/1QqKyyYR6Q21VydFLVH3TRQUabQu_ym0Zz7PgGX0-kHA/edit?usp=sharing"",""แผน!IE68"")"),550)</f>
        <v>550</v>
      </c>
      <c r="J701" s="676">
        <f>J704+J707</f>
        <v>105</v>
      </c>
      <c r="K701" s="195">
        <f t="shared" ca="1" si="290"/>
        <v>19.09090909090909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11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12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IFERROR(__xludf.DUMMYFUNCTION("IMPORTRANGE(""https://docs.google.com/spreadsheets/d/1QqKyyYR6Q21VydFLVH3TRQUabQu_ym0Zz7PgGX0-kHA/edit?usp=sharing"",""แผน!IF68"")"),25)</f>
        <v>25</v>
      </c>
      <c r="J704" s="215">
        <v>105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IFERROR(__xludf.DUMMYFUNCTION("IMPORTRANGE(""https://docs.google.com/spreadsheets/d/1QqKyyYR6Q21VydFLVH3TRQUabQu_ym0Zz7PgGX0-kHA/edit?usp=sharing"",""แผน!IG68"")"),525)</f>
        <v>525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IFERROR(__xludf.DUMMYFUNCTION("IMPORTRANGE(""https://docs.google.com/spreadsheets/d/1QqKyyYR6Q21VydFLVH3TRQUabQu_ym0Zz7PgGX0-kHA/edit?usp=sharing"",""แผน!IH68"")"),100)</f>
        <v>100</v>
      </c>
      <c r="J708" s="676">
        <f>J714+J717</f>
        <v>147</v>
      </c>
      <c r="K708" s="195">
        <f ca="1">IF(I708&gt;0,J708*100/I708,0)</f>
        <v>147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4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147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20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147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IFERROR(__xludf.DUMMYFUNCTION("IMPORTRANGE(""https://docs.google.com/spreadsheets/d/1QqKyyYR6Q21VydFLVH3TRQUabQu_ym0Zz7PgGX0-kHA/edit?usp=sharing"",""แผน!II68"")"),150)</f>
        <v>150</v>
      </c>
      <c r="J720" s="270">
        <f ca="1">IFERROR(__xludf.DUMMYFUNCTION("IMPORTRANGE(""https://docs.google.com/spreadsheets/d/1XWAQStnk-4SwqDmLtmXYiTMKHgktTP8We1SCoS47DrQ/edit?usp=sharing"",""จัดที่ดิน!BH68"")"),0)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IFERROR(__xludf.DUMMYFUNCTION("IMPORTRANGE(""https://docs.google.com/spreadsheets/d/1QqKyyYR6Q21VydFLVH3TRQUabQu_ym0Zz7PgGX0-kHA/edit?usp=sharing"",""แผน!IJ68"")"),10)</f>
        <v>10</v>
      </c>
      <c r="J721" s="676">
        <f ca="1">J723+J726</f>
        <v>10</v>
      </c>
      <c r="K721" s="195">
        <f t="shared" ca="1" si="291"/>
        <v>100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IFERROR(__xludf.DUMMYFUNCTION("IMPORTRANGE(""https://docs.google.com/spreadsheets/d/1QqKyyYR6Q21VydFLVH3TRQUabQu_ym0Zz7PgGX0-kHA/edit?usp=sharing"",""แผน!IK68"")"),50)</f>
        <v>50</v>
      </c>
      <c r="J722" s="676">
        <f ca="1">J725+J728</f>
        <v>164.44</v>
      </c>
      <c r="K722" s="195">
        <f t="shared" ca="1" si="291"/>
        <v>328.88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IFERROR(__xludf.DUMMYFUNCTION("IMPORTRANGE(""https://docs.google.com/spreadsheets/d/1QqKyyYR6Q21VydFLVH3TRQUabQu_ym0Zz7PgGX0-kHA/edit?usp=sharing"",""แผน!IL68"")"),10)</f>
        <v>10</v>
      </c>
      <c r="J723" s="270">
        <f ca="1">IFERROR(__xludf.DUMMYFUNCTION("IMPORTRANGE(""https://docs.google.com/spreadsheets/d/1XWAQStnk-4SwqDmLtmXYiTMKHgktTP8We1SCoS47DrQ/edit?usp=sharing"",""จัดที่ดิน!BM68"")"),10)</f>
        <v>10</v>
      </c>
      <c r="K723" s="497">
        <f t="shared" ca="1" si="291"/>
        <v>100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IFERROR(__xludf.DUMMYFUNCTION("IMPORTRANGE(""https://docs.google.com/spreadsheets/d/1XWAQStnk-4SwqDmLtmXYiTMKHgktTP8We1SCoS47DrQ/edit?usp=sharing"",""จัดที่ดิน!BN68"")"),11)</f>
        <v>11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IFERROR(__xludf.DUMMYFUNCTION("IMPORTRANGE(""https://docs.google.com/spreadsheets/d/1QqKyyYR6Q21VydFLVH3TRQUabQu_ym0Zz7PgGX0-kHA/edit?usp=sharing"",""แผน!IM68"")"),50)</f>
        <v>50</v>
      </c>
      <c r="J725" s="270">
        <f ca="1">IFERROR(__xludf.DUMMYFUNCTION("IMPORTRANGE(""https://docs.google.com/spreadsheets/d/1XWAQStnk-4SwqDmLtmXYiTMKHgktTP8We1SCoS47DrQ/edit?usp=sharing"",""จัดที่ดิน!BO68"")"),164.44)</f>
        <v>164.44</v>
      </c>
      <c r="K725" s="497">
        <f t="shared" ref="K725:K726" ca="1" si="292">IF(I725&gt;0,J725*100/I725,0)</f>
        <v>328.88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IFERROR(__xludf.DUMMYFUNCTION("IMPORTRANGE(""https://docs.google.com/spreadsheets/d/1QqKyyYR6Q21VydFLVH3TRQUabQu_ym0Zz7PgGX0-kHA/edit?usp=sharing"",""แผน!IN68"")"),0)</f>
        <v>0</v>
      </c>
      <c r="J726" s="270">
        <f ca="1">IFERROR(__xludf.DUMMYFUNCTION("IMPORTRANGE(""https://docs.google.com/spreadsheets/d/1XWAQStnk-4SwqDmLtmXYiTMKHgktTP8We1SCoS47DrQ/edit?usp=sharing"",""จัดที่ดิน!BR68"")"),0)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IFERROR(__xludf.DUMMYFUNCTION("IMPORTRANGE(""https://docs.google.com/spreadsheets/d/1QqKyyYR6Q21VydFLVH3TRQUabQu_ym0Zz7PgGX0-kHA/edit?usp=sharing"",""แผน!IO68"")"),0)</f>
        <v>0</v>
      </c>
      <c r="J728" s="270">
        <f ca="1">IFERROR(__xludf.DUMMYFUNCTION("IMPORTRANGE(""https://docs.google.com/spreadsheets/d/1XWAQStnk-4SwqDmLtmXYiTMKHgktTP8We1SCoS47DrQ/edit?usp=sharing"",""จัดที่ดิน!BT68"")"),0)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IFERROR(__xludf.DUMMYFUNCTION("IMPORTRANGE(""https://docs.google.com/spreadsheets/d/1QqKyyYR6Q21VydFLVH3TRQUabQu_ym0Zz7PgGX0-kHA/edit?usp=sharing"",""แผน!IP68"")"),10)</f>
        <v>10</v>
      </c>
      <c r="J729" s="676">
        <f>J732+J735</f>
        <v>30</v>
      </c>
      <c r="K729" s="195">
        <f t="shared" ca="1" si="293"/>
        <v>300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5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3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30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IFERROR(__xludf.DUMMYFUNCTION("IMPORTRANGE(""https://docs.google.com/spreadsheets/d/1QqKyyYR6Q21VydFLVH3TRQUabQu_ym0Zz7PgGX0-kHA/edit?usp=sharing"",""แผน!JN68"")"),0)</f>
        <v>0</v>
      </c>
      <c r="J800" s="184">
        <f ca="1">IFERROR(__xludf.DUMMYFUNCTION("IMPORTRANGE(""https://docs.google.com/spreadsheets/d/1MaWodYyGHDf7siQLGxnXhG4mBNTNIuy296niS2xXulU/edit?usp=sharing"",""RTK!H68"")"),0)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70">
        <f ca="1">IFERROR(__xludf.DUMMYFUNCTION("IMPORTRANGE(""https://docs.google.com/spreadsheets/d/19vJNZY_5yjcGF2XGBMNZRCAIB0Kwfpjp8YEOfu-bneM/edit?usp=sharing"",""งานกองทุน!F68"")"),8195408.78)</f>
        <v>8195408.7800000003</v>
      </c>
      <c r="K821" s="497">
        <f t="shared" ref="K821:K828" ca="1" si="335">IF(I821&gt;0,J821*100/I821,0)</f>
        <v>73.41609359671348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IFERROR(__xludf.DUMMYFUNCTION("IMPORTRANGE(""https://docs.google.com/spreadsheets/d/19vJNZY_5yjcGF2XGBMNZRCAIB0Kwfpjp8YEOfu-bneM/edit?usp=sharing"",""งานกองทุน!C68"")"),357)</f>
        <v>357</v>
      </c>
      <c r="J822" s="270">
        <f ca="1">IFERROR(__xludf.DUMMYFUNCTION("IMPORTRANGE(""https://docs.google.com/spreadsheets/d/19vJNZY_5yjcGF2XGBMNZRCAIB0Kwfpjp8YEOfu-bneM/edit?usp=sharing"",""งานกองทุน!E68"")"),274)</f>
        <v>274</v>
      </c>
      <c r="K822" s="497">
        <f t="shared" ca="1" si="335"/>
        <v>76.750700280112042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70">
        <f ca="1">IFERROR(__xludf.DUMMYFUNCTION("IMPORTRANGE(""https://docs.google.com/spreadsheets/d/19vJNZY_5yjcGF2XGBMNZRCAIB0Kwfpjp8YEOfu-bneM/edit?usp=sharing"",""งานกองทุน!K68"")"),831662.74)</f>
        <v>831662.74</v>
      </c>
      <c r="K823" s="497">
        <f t="shared" ca="1" si="335"/>
        <v>11.162668371689765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IFERROR(__xludf.DUMMYFUNCTION("IMPORTRANGE(""https://docs.google.com/spreadsheets/d/19vJNZY_5yjcGF2XGBMNZRCAIB0Kwfpjp8YEOfu-bneM/edit?usp=sharing"",""งานกองทุน!H68"")"),327)</f>
        <v>327</v>
      </c>
      <c r="J824" s="270">
        <f ca="1">IFERROR(__xludf.DUMMYFUNCTION("IMPORTRANGE(""https://docs.google.com/spreadsheets/d/19vJNZY_5yjcGF2XGBMNZRCAIB0Kwfpjp8YEOfu-bneM/edit?usp=sharing"",""งานกองทุน!J68"")"),46)</f>
        <v>46</v>
      </c>
      <c r="K824" s="497">
        <f t="shared" ca="1" si="335"/>
        <v>14.067278287461773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70">
        <f ca="1">IFERROR(__xludf.DUMMYFUNCTION("IMPORTRANGE(""https://docs.google.com/spreadsheets/d/19vJNZY_5yjcGF2XGBMNZRCAIB0Kwfpjp8YEOfu-bneM/edit?usp=sharing"",""งานกองทุน!P68"")"),2015569.09)</f>
        <v>2015569.09</v>
      </c>
      <c r="K825" s="497">
        <f t="shared" ca="1" si="335"/>
        <v>21.68771865451621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IFERROR(__xludf.DUMMYFUNCTION("IMPORTRANGE(""https://docs.google.com/spreadsheets/d/19vJNZY_5yjcGF2XGBMNZRCAIB0Kwfpjp8YEOfu-bneM/edit?usp=sharing"",""งานกองทุน!M68"")"),1224)</f>
        <v>1224</v>
      </c>
      <c r="J826" s="270">
        <f ca="1">IFERROR(__xludf.DUMMYFUNCTION("IMPORTRANGE(""https://docs.google.com/spreadsheets/d/19vJNZY_5yjcGF2XGBMNZRCAIB0Kwfpjp8YEOfu-bneM/edit?usp=sharing"",""งานกองทุน!O68"")"),453)</f>
        <v>453</v>
      </c>
      <c r="K826" s="497">
        <f t="shared" ca="1" si="335"/>
        <v>37.009803921568626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IFERROR(__xludf.DUMMYFUNCTION("IMPORTRANGE(""https://docs.google.com/spreadsheets/d/19vJNZY_5yjcGF2XGBMNZRCAIB0Kwfpjp8YEOfu-bneM/edit?usp=sharing"",""งานกองทุน!S68"")"),11230000)</f>
        <v>11230000</v>
      </c>
      <c r="J827" s="270">
        <f ca="1">IFERROR(__xludf.DUMMYFUNCTION("IMPORTRANGE(""https://docs.google.com/spreadsheets/d/19vJNZY_5yjcGF2XGBMNZRCAIB0Kwfpjp8YEOfu-bneM/edit?usp=sharing"",""งานกองทุน!U68"")"),5330000)</f>
        <v>5330000</v>
      </c>
      <c r="K827" s="497">
        <f t="shared" ca="1" si="335"/>
        <v>47.462154942119327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IFERROR(__xludf.DUMMYFUNCTION("IMPORTRANGE(""https://docs.google.com/spreadsheets/d/19vJNZY_5yjcGF2XGBMNZRCAIB0Kwfpjp8YEOfu-bneM/edit?usp=sharing"",""งานกองทุน!R68"")"),449)</f>
        <v>449</v>
      </c>
      <c r="J828" s="501">
        <f ca="1">IFERROR(__xludf.DUMMYFUNCTION("IMPORTRANGE(""https://docs.google.com/spreadsheets/d/19vJNZY_5yjcGF2XGBMNZRCAIB0Kwfpjp8YEOfu-bneM/edit?usp=sharing"",""งานกองทุน!T68"")"),165)</f>
        <v>165</v>
      </c>
      <c r="K828" s="502">
        <f t="shared" ca="1" si="335"/>
        <v>36.748329621380847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58F7-F1F0-436A-9EAF-03CD5FC8B483}">
  <sheetPr codeName="Sheet18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356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7375560</v>
      </c>
      <c r="M8" s="22">
        <f t="shared" ca="1" si="0"/>
        <v>7433324.3200000003</v>
      </c>
      <c r="N8" s="22">
        <f t="shared" ca="1" si="0"/>
        <v>5413267.9900000002</v>
      </c>
      <c r="O8" s="22">
        <f t="shared" ref="O8:O16" ca="1" si="1">IF(L8&gt;0,N8*100/L8,0)</f>
        <v>73.394670913123889</v>
      </c>
      <c r="P8" s="22">
        <f t="shared" ref="P8:P16" ca="1" si="2">IF(M8&gt;0,N8*100/M8,0)</f>
        <v>72.824321352899076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7375560</v>
      </c>
      <c r="M10" s="30">
        <f t="shared" ca="1" si="3"/>
        <v>7433324.3200000003</v>
      </c>
      <c r="N10" s="30">
        <f t="shared" ca="1" si="3"/>
        <v>5413267.9900000002</v>
      </c>
      <c r="O10" s="30">
        <f t="shared" ca="1" si="1"/>
        <v>73.394670913123889</v>
      </c>
      <c r="P10" s="30">
        <f t="shared" ca="1" si="2"/>
        <v>72.824321352899076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6693960</v>
      </c>
      <c r="M11" s="497">
        <f t="shared" ca="1" si="4"/>
        <v>6802109.04</v>
      </c>
      <c r="N11" s="497">
        <f t="shared" ca="1" si="4"/>
        <v>4782052.71</v>
      </c>
      <c r="O11" s="497">
        <f t="shared" ca="1" si="1"/>
        <v>71.438322159080727</v>
      </c>
      <c r="P11" s="497">
        <f t="shared" ca="1" si="2"/>
        <v>70.302500031666654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6693960</v>
      </c>
      <c r="M13" s="93">
        <f t="shared" ca="1" si="5"/>
        <v>6802109.04</v>
      </c>
      <c r="N13" s="93">
        <f t="shared" ca="1" si="5"/>
        <v>4782052.71</v>
      </c>
      <c r="O13" s="93">
        <f t="shared" ca="1" si="1"/>
        <v>71.438322159080727</v>
      </c>
      <c r="P13" s="93">
        <f t="shared" ca="1" si="2"/>
        <v>70.302500031666654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681600</v>
      </c>
      <c r="M14" s="497">
        <f t="shared" ca="1" si="6"/>
        <v>631215.28</v>
      </c>
      <c r="N14" s="497">
        <f t="shared" ca="1" si="6"/>
        <v>631215.28</v>
      </c>
      <c r="O14" s="497">
        <f t="shared" ca="1" si="1"/>
        <v>92.607875586854462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681600</v>
      </c>
      <c r="M16" s="52">
        <f t="shared" ca="1" si="7"/>
        <v>631215.28</v>
      </c>
      <c r="N16" s="52">
        <f t="shared" ca="1" si="7"/>
        <v>631215.28</v>
      </c>
      <c r="O16" s="52">
        <f t="shared" ca="1" si="1"/>
        <v>92.607875586854462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5134563</v>
      </c>
      <c r="M18" s="22">
        <f t="shared" ca="1" si="8"/>
        <v>5192327.32</v>
      </c>
      <c r="N18" s="22">
        <f t="shared" ca="1" si="8"/>
        <v>3773725.7</v>
      </c>
      <c r="O18" s="22">
        <f t="shared" ref="O18:O26" ca="1" si="9">IF(L18&gt;0,N18*100/L18,0)</f>
        <v>73.496531253000498</v>
      </c>
      <c r="P18" s="22">
        <f t="shared" ref="P18:P26" ca="1" si="10">IF(M18&gt;0,N18*100/M18,0)</f>
        <v>72.678886892669922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5134563</v>
      </c>
      <c r="M20" s="30">
        <f t="shared" ca="1" si="11"/>
        <v>5192327.32</v>
      </c>
      <c r="N20" s="30">
        <f t="shared" ca="1" si="11"/>
        <v>3773725.7</v>
      </c>
      <c r="O20" s="30">
        <f t="shared" ca="1" si="9"/>
        <v>73.496531253000498</v>
      </c>
      <c r="P20" s="30">
        <f t="shared" ca="1" si="10"/>
        <v>72.678886892669922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4452963</v>
      </c>
      <c r="M21" s="497">
        <f t="shared" ca="1" si="12"/>
        <v>4561112.04</v>
      </c>
      <c r="N21" s="497">
        <f t="shared" ca="1" si="12"/>
        <v>3142510.42</v>
      </c>
      <c r="O21" s="497">
        <f t="shared" ca="1" si="9"/>
        <v>70.571222352397712</v>
      </c>
      <c r="P21" s="497">
        <f t="shared" ca="1" si="10"/>
        <v>68.897900170853944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4452963</v>
      </c>
      <c r="M23" s="93">
        <f t="shared" ca="1" si="13"/>
        <v>4561112.04</v>
      </c>
      <c r="N23" s="93">
        <f t="shared" ca="1" si="13"/>
        <v>3142510.42</v>
      </c>
      <c r="O23" s="93">
        <f t="shared" ca="1" si="9"/>
        <v>70.571222352397712</v>
      </c>
      <c r="P23" s="93">
        <f t="shared" ca="1" si="10"/>
        <v>68.897900170853944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681600</v>
      </c>
      <c r="M24" s="497">
        <f t="shared" ca="1" si="14"/>
        <v>631215.28</v>
      </c>
      <c r="N24" s="497">
        <f t="shared" ca="1" si="14"/>
        <v>631215.28</v>
      </c>
      <c r="O24" s="497">
        <f t="shared" ca="1" si="9"/>
        <v>92.607875586854462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681600</v>
      </c>
      <c r="M26" s="52">
        <f t="shared" ca="1" si="15"/>
        <v>631215.28</v>
      </c>
      <c r="N26" s="52">
        <f t="shared" ca="1" si="15"/>
        <v>631215.28</v>
      </c>
      <c r="O26" s="52">
        <f t="shared" ca="1" si="9"/>
        <v>92.607875586854462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2240997</v>
      </c>
      <c r="M28" s="22">
        <f t="shared" ca="1" si="16"/>
        <v>2240997</v>
      </c>
      <c r="N28" s="22">
        <f t="shared" si="16"/>
        <v>1639542.29</v>
      </c>
      <c r="O28" s="22">
        <f t="shared" ref="O28:O37" ca="1" si="17">IF(L28&gt;0,N28*100/L28,0)</f>
        <v>73.161288926312707</v>
      </c>
      <c r="P28" s="22">
        <f t="shared" ref="P28:P37" ca="1" si="18">IF(M28&gt;0,N28*100/M28,0)</f>
        <v>73.161288926312707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2240997</v>
      </c>
      <c r="M30" s="30">
        <f t="shared" ca="1" si="19"/>
        <v>2240997</v>
      </c>
      <c r="N30" s="30">
        <f t="shared" si="19"/>
        <v>1639542.29</v>
      </c>
      <c r="O30" s="30">
        <f t="shared" ca="1" si="17"/>
        <v>73.161288926312707</v>
      </c>
      <c r="P30" s="30">
        <f t="shared" ca="1" si="18"/>
        <v>73.161288926312707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2240997</v>
      </c>
      <c r="M31" s="497">
        <f t="shared" ca="1" si="20"/>
        <v>2240997</v>
      </c>
      <c r="N31" s="497">
        <f t="shared" si="20"/>
        <v>1639542.29</v>
      </c>
      <c r="O31" s="497">
        <f t="shared" ca="1" si="17"/>
        <v>73.161288926312707</v>
      </c>
      <c r="P31" s="497">
        <f t="shared" ca="1" si="18"/>
        <v>73.161288926312707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2240997</v>
      </c>
      <c r="M33" s="93">
        <f t="shared" ca="1" si="21"/>
        <v>2240997</v>
      </c>
      <c r="N33" s="93">
        <f t="shared" si="21"/>
        <v>1639542.29</v>
      </c>
      <c r="O33" s="93">
        <f t="shared" ca="1" si="17"/>
        <v>73.161288926312707</v>
      </c>
      <c r="P33" s="93">
        <f t="shared" ca="1" si="18"/>
        <v>73.161288926312707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5134563</v>
      </c>
      <c r="M37" s="59">
        <f t="shared" ca="1" si="24"/>
        <v>5192327.32</v>
      </c>
      <c r="N37" s="59">
        <f t="shared" ca="1" si="24"/>
        <v>3773725.6999999997</v>
      </c>
      <c r="O37" s="59">
        <f t="shared" ca="1" si="17"/>
        <v>73.496531253000498</v>
      </c>
      <c r="P37" s="59">
        <f t="shared" ca="1" si="18"/>
        <v>72.678886892669922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406723</v>
      </c>
      <c r="M41" s="85">
        <f t="shared" ca="1" si="25"/>
        <v>437842.04</v>
      </c>
      <c r="N41" s="85">
        <f t="shared" ca="1" si="25"/>
        <v>348672.93</v>
      </c>
      <c r="O41" s="85">
        <f t="shared" ref="O41:O49" ca="1" si="26">IF(L41&gt;0,N41*100/L41,0)</f>
        <v>85.727369733209088</v>
      </c>
      <c r="P41" s="85">
        <f t="shared" ref="P41:P49" ca="1" si="27">IF(M41&gt;0,N41*100/M41,0)</f>
        <v>79.634411076652214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406723</v>
      </c>
      <c r="M43" s="92">
        <f t="shared" ca="1" si="28"/>
        <v>437842.04</v>
      </c>
      <c r="N43" s="92">
        <f t="shared" ca="1" si="28"/>
        <v>348672.93</v>
      </c>
      <c r="O43" s="92">
        <f t="shared" ca="1" si="26"/>
        <v>85.727369733209088</v>
      </c>
      <c r="P43" s="92">
        <f t="shared" ca="1" si="27"/>
        <v>79.634411076652214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406723</v>
      </c>
      <c r="M44" s="497">
        <f t="shared" ca="1" si="29"/>
        <v>437842.04</v>
      </c>
      <c r="N44" s="497">
        <f t="shared" ca="1" si="29"/>
        <v>348672.93</v>
      </c>
      <c r="O44" s="497">
        <f t="shared" ca="1" si="26"/>
        <v>85.727369733209088</v>
      </c>
      <c r="P44" s="497">
        <f t="shared" ca="1" si="27"/>
        <v>79.634411076652214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IFERROR(__xludf.DUMMYFUNCTION("IMPORTRANGE(""https://docs.google.com/spreadsheets/d/1MeEWN-I1oV_STSDYn1IFDPWt_1FKiwhDph83XaGc0o0/edit?usp=sharing"",""งบพรบ!M69"")"),406723)</f>
        <v>406723</v>
      </c>
      <c r="M46" s="93">
        <f ca="1">IFERROR(__xludf.DUMMYFUNCTION("IMPORTRANGE(""https://docs.google.com/spreadsheets/d/1MeEWN-I1oV_STSDYn1IFDPWt_1FKiwhDph83XaGc0o0/edit?usp=sharing"",""งบพรบ!R69"")"),437842.04)</f>
        <v>437842.04</v>
      </c>
      <c r="N46" s="93">
        <f ca="1">IFERROR(__xludf.DUMMYFUNCTION("IMPORTRANGE(""https://docs.google.com/spreadsheets/d/1MeEWN-I1oV_STSDYn1IFDPWt_1FKiwhDph83XaGc0o0/edit?usp=sharing"",""งบพรบ!T69"")"),348672.93)</f>
        <v>348672.93</v>
      </c>
      <c r="O46" s="93">
        <f t="shared" ca="1" si="26"/>
        <v>85.727369733209088</v>
      </c>
      <c r="P46" s="93">
        <f t="shared" ca="1" si="27"/>
        <v>79.634411076652214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IFERROR(__xludf.DUMMYFUNCTION("IMPORTRANGE(""https://docs.google.com/spreadsheets/d/1MeEWN-I1oV_STSDYn1IFDPWt_1FKiwhDph83XaGc0o0/edit?usp=sharing"",""งบพรบ!P69"")"),0)</f>
        <v>0</v>
      </c>
      <c r="M49" s="52">
        <f ca="1">IFERROR(__xludf.DUMMYFUNCTION("IMPORTRANGE(""https://docs.google.com/spreadsheets/d/1MeEWN-I1oV_STSDYn1IFDPWt_1FKiwhDph83XaGc0o0/edit?usp=sharing"",""งบพรบ!S69"")"),0)</f>
        <v>0</v>
      </c>
      <c r="N49" s="52">
        <f ca="1">IFERROR(__xludf.DUMMYFUNCTION("IMPORTRANGE(""https://docs.google.com/spreadsheets/d/1MeEWN-I1oV_STSDYn1IFDPWt_1FKiwhDph83XaGc0o0/edit?usp=sharing"",""งบพรบ!U69"")"),0)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1382600</v>
      </c>
      <c r="M53" s="116">
        <f t="shared" ca="1" si="31"/>
        <v>1388835.28</v>
      </c>
      <c r="N53" s="116">
        <f t="shared" ca="1" si="31"/>
        <v>1225447.57</v>
      </c>
      <c r="O53" s="116">
        <f t="shared" ref="O53:O61" ca="1" si="32">IF(L53&gt;0,N53*100/L53,0)</f>
        <v>88.633557789671627</v>
      </c>
      <c r="P53" s="116">
        <f t="shared" ref="P53:P61" ca="1" si="33">IF(M53&gt;0,N53*100/M53,0)</f>
        <v>88.235630794171641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1382600</v>
      </c>
      <c r="M55" s="123">
        <f t="shared" ca="1" si="34"/>
        <v>1388835.28</v>
      </c>
      <c r="N55" s="123">
        <f t="shared" ca="1" si="34"/>
        <v>1225447.57</v>
      </c>
      <c r="O55" s="123">
        <f t="shared" ca="1" si="32"/>
        <v>88.633557789671627</v>
      </c>
      <c r="P55" s="123">
        <f t="shared" ca="1" si="33"/>
        <v>88.235630794171641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825600</v>
      </c>
      <c r="M56" s="497">
        <f t="shared" ca="1" si="35"/>
        <v>882220</v>
      </c>
      <c r="N56" s="497">
        <f t="shared" ca="1" si="35"/>
        <v>718832.29</v>
      </c>
      <c r="O56" s="497">
        <f t="shared" ca="1" si="32"/>
        <v>87.067864583333332</v>
      </c>
      <c r="P56" s="497">
        <f t="shared" ca="1" si="33"/>
        <v>81.479935843667107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IFERROR(__xludf.DUMMYFUNCTION("IMPORTRANGE(""https://docs.google.com/spreadsheets/d/1MeEWN-I1oV_STSDYn1IFDPWt_1FKiwhDph83XaGc0o0/edit?usp=sharing"",""งบพรบ!W69"")"),825600)</f>
        <v>825600</v>
      </c>
      <c r="M58" s="93">
        <f ca="1">IFERROR(__xludf.DUMMYFUNCTION("IMPORTRANGE(""https://docs.google.com/spreadsheets/d/1MeEWN-I1oV_STSDYn1IFDPWt_1FKiwhDph83XaGc0o0/edit?usp=sharing"",""งบพรบ!AB69"")"),882220)</f>
        <v>882220</v>
      </c>
      <c r="N58" s="93">
        <f ca="1">IFERROR(__xludf.DUMMYFUNCTION("IMPORTRANGE(""https://docs.google.com/spreadsheets/d/1MeEWN-I1oV_STSDYn1IFDPWt_1FKiwhDph83XaGc0o0/edit?usp=sharing"",""งบพรบ!AD69"")"),718832.29)</f>
        <v>718832.29</v>
      </c>
      <c r="O58" s="93">
        <f t="shared" ca="1" si="32"/>
        <v>87.067864583333332</v>
      </c>
      <c r="P58" s="93">
        <f t="shared" ca="1" si="33"/>
        <v>81.479935843667107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557000</v>
      </c>
      <c r="M59" s="497">
        <f t="shared" ca="1" si="36"/>
        <v>506615.28</v>
      </c>
      <c r="N59" s="497">
        <f t="shared" ca="1" si="36"/>
        <v>506615.28</v>
      </c>
      <c r="O59" s="497">
        <f t="shared" ca="1" si="32"/>
        <v>90.954269299820467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IFERROR(__xludf.DUMMYFUNCTION("IMPORTRANGE(""https://docs.google.com/spreadsheets/d/1MeEWN-I1oV_STSDYn1IFDPWt_1FKiwhDph83XaGc0o0/edit?usp=sharing"",""งบพรบ!Z69"")"),557000)</f>
        <v>557000</v>
      </c>
      <c r="M61" s="52">
        <f ca="1">IFERROR(__xludf.DUMMYFUNCTION("IMPORTRANGE(""https://docs.google.com/spreadsheets/d/1MeEWN-I1oV_STSDYn1IFDPWt_1FKiwhDph83XaGc0o0/edit?usp=sharing"",""งบพรบ!AC69"")"),506615.28)</f>
        <v>506615.28</v>
      </c>
      <c r="N61" s="52">
        <f ca="1">IFERROR(__xludf.DUMMYFUNCTION("IMPORTRANGE(""https://docs.google.com/spreadsheets/d/1MeEWN-I1oV_STSDYn1IFDPWt_1FKiwhDph83XaGc0o0/edit?usp=sharing"",""งบพรบ!AE69"")"),506615.28)</f>
        <v>506615.28</v>
      </c>
      <c r="O61" s="52">
        <f t="shared" ca="1" si="32"/>
        <v>90.954269299820467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914700</v>
      </c>
      <c r="M66" s="155">
        <f t="shared" ca="1" si="39"/>
        <v>925590</v>
      </c>
      <c r="N66" s="155">
        <f t="shared" ca="1" si="39"/>
        <v>542925.59</v>
      </c>
      <c r="O66" s="155">
        <f t="shared" ref="O66:O74" ca="1" si="40">IF(L66&gt;0,N66*100/L66,0)</f>
        <v>59.35559090412157</v>
      </c>
      <c r="P66" s="155">
        <f t="shared" ref="P66:P74" ca="1" si="41">IF(M66&gt;0,N66*100/M66,0)</f>
        <v>58.657244568329389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914700</v>
      </c>
      <c r="M68" s="93">
        <f t="shared" ca="1" si="42"/>
        <v>925590</v>
      </c>
      <c r="N68" s="93">
        <f t="shared" ca="1" si="42"/>
        <v>542925.59</v>
      </c>
      <c r="O68" s="93">
        <f t="shared" ca="1" si="40"/>
        <v>59.35559090412157</v>
      </c>
      <c r="P68" s="93">
        <f t="shared" ca="1" si="41"/>
        <v>58.657244568329389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914700</v>
      </c>
      <c r="M69" s="497">
        <f t="shared" ca="1" si="43"/>
        <v>925590</v>
      </c>
      <c r="N69" s="497">
        <f t="shared" ca="1" si="43"/>
        <v>542925.59</v>
      </c>
      <c r="O69" s="497">
        <f t="shared" ca="1" si="40"/>
        <v>59.35559090412157</v>
      </c>
      <c r="P69" s="497">
        <f t="shared" ca="1" si="41"/>
        <v>58.657244568329389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IFERROR(__xludf.DUMMYFUNCTION("IMPORTRANGE(""https://docs.google.com/spreadsheets/d/1MeEWN-I1oV_STSDYn1IFDPWt_1FKiwhDph83XaGc0o0/edit?usp=sharing"",""งบพรบ!AG69"")"),914700)</f>
        <v>914700</v>
      </c>
      <c r="M71" s="93">
        <f ca="1">IFERROR(__xludf.DUMMYFUNCTION("IMPORTRANGE(""https://docs.google.com/spreadsheets/d/1MeEWN-I1oV_STSDYn1IFDPWt_1FKiwhDph83XaGc0o0/edit?usp=sharing"",""งบพรบ!AL69"")"),925590)</f>
        <v>925590</v>
      </c>
      <c r="N71" s="93">
        <f ca="1">IFERROR(__xludf.DUMMYFUNCTION("IMPORTRANGE(""https://docs.google.com/spreadsheets/d/1MeEWN-I1oV_STSDYn1IFDPWt_1FKiwhDph83XaGc0o0/edit?usp=sharing"",""งบพรบ!AN69"")"),542925.59)</f>
        <v>542925.59</v>
      </c>
      <c r="O71" s="93">
        <f t="shared" ca="1" si="40"/>
        <v>59.35559090412157</v>
      </c>
      <c r="P71" s="93">
        <f t="shared" ca="1" si="41"/>
        <v>58.657244568329389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IFERROR(__xludf.DUMMYFUNCTION("IMPORTRANGE(""https://docs.google.com/spreadsheets/d/1MeEWN-I1oV_STSDYn1IFDPWt_1FKiwhDph83XaGc0o0/edit?usp=sharing"",""งบพรบ!AJ69"")"),0)</f>
        <v>0</v>
      </c>
      <c r="M74" s="93">
        <f ca="1">IFERROR(__xludf.DUMMYFUNCTION("IMPORTRANGE(""https://docs.google.com/spreadsheets/d/1MeEWN-I1oV_STSDYn1IFDPWt_1FKiwhDph83XaGc0o0/edit?usp=sharing"",""งบพรบ!AM69"")"),0)</f>
        <v>0</v>
      </c>
      <c r="N74" s="93">
        <f ca="1">IFERROR(__xludf.DUMMYFUNCTION("IMPORTRANGE(""https://docs.google.com/spreadsheets/d/1MeEWN-I1oV_STSDYn1IFDPWt_1FKiwhDph83XaGc0o0/edit?usp=sharing"",""งบพรบ!AO69"")"),0)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IFERROR(__xludf.DUMMYFUNCTION("IMPORTRANGE(""https://docs.google.com/spreadsheets/d/1QqKyyYR6Q21VydFLVH3TRQUabQu_ym0Zz7PgGX0-kHA/edit?usp=sharing"",""แผน!G69"")"),70)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98960</v>
      </c>
      <c r="N88" s="155">
        <f t="shared" ca="1" si="49"/>
        <v>33260</v>
      </c>
      <c r="O88" s="155">
        <f t="shared" ref="O88:O96" ca="1" si="50">IF(L88&gt;0,N88*100/L88,0)</f>
        <v>33.609539207760712</v>
      </c>
      <c r="P88" s="155">
        <f t="shared" ref="P88:P96" ca="1" si="51">IF(M88&gt;0,N88*100/M88,0)</f>
        <v>33.609539207760712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98960</v>
      </c>
      <c r="M90" s="93">
        <f t="shared" ca="1" si="52"/>
        <v>98960</v>
      </c>
      <c r="N90" s="93">
        <f t="shared" ca="1" si="52"/>
        <v>33260</v>
      </c>
      <c r="O90" s="93">
        <f t="shared" ca="1" si="50"/>
        <v>33.609539207760712</v>
      </c>
      <c r="P90" s="93">
        <f t="shared" ca="1" si="51"/>
        <v>33.609539207760712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98960</v>
      </c>
      <c r="N91" s="497">
        <f t="shared" ca="1" si="53"/>
        <v>33260</v>
      </c>
      <c r="O91" s="497">
        <f t="shared" ca="1" si="50"/>
        <v>33.609539207760712</v>
      </c>
      <c r="P91" s="497">
        <f t="shared" ca="1" si="51"/>
        <v>33.609539207760712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IFERROR(__xludf.DUMMYFUNCTION("IMPORTRANGE(""https://docs.google.com/spreadsheets/d/1MeEWN-I1oV_STSDYn1IFDPWt_1FKiwhDph83XaGc0o0/edit?usp=sharing"",""งบพรบ!AQ69"")"),98960)</f>
        <v>98960</v>
      </c>
      <c r="M93" s="93">
        <f ca="1">IFERROR(__xludf.DUMMYFUNCTION("IMPORTRANGE(""https://docs.google.com/spreadsheets/d/1MeEWN-I1oV_STSDYn1IFDPWt_1FKiwhDph83XaGc0o0/edit?usp=sharing"",""งบพรบ!AV69"")"),98960)</f>
        <v>98960</v>
      </c>
      <c r="N93" s="93">
        <f ca="1">IFERROR(__xludf.DUMMYFUNCTION("IMPORTRANGE(""https://docs.google.com/spreadsheets/d/1MeEWN-I1oV_STSDYn1IFDPWt_1FKiwhDph83XaGc0o0/edit?usp=sharing"",""งบพรบ!AX69"")"),33260)</f>
        <v>33260</v>
      </c>
      <c r="O93" s="93">
        <f t="shared" ca="1" si="50"/>
        <v>33.609539207760712</v>
      </c>
      <c r="P93" s="93">
        <f t="shared" ca="1" si="51"/>
        <v>33.609539207760712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IFERROR(__xludf.DUMMYFUNCTION("IMPORTRANGE(""https://docs.google.com/spreadsheets/d/1MeEWN-I1oV_STSDYn1IFDPWt_1FKiwhDph83XaGc0o0/edit?usp=sharing"",""งบพรบ!AT69"")"),0)</f>
        <v>0</v>
      </c>
      <c r="M96" s="93">
        <f ca="1">IFERROR(__xludf.DUMMYFUNCTION("IMPORTRANGE(""https://docs.google.com/spreadsheets/d/1MeEWN-I1oV_STSDYn1IFDPWt_1FKiwhDph83XaGc0o0/edit?usp=sharing"",""งบพรบ!AW69"")"),0)</f>
        <v>0</v>
      </c>
      <c r="N96" s="93">
        <f ca="1">IFERROR(__xludf.DUMMYFUNCTION("IMPORTRANGE(""https://docs.google.com/spreadsheets/d/1MeEWN-I1oV_STSDYn1IFDPWt_1FKiwhDph83XaGc0o0/edit?usp=sharing"",""งบพรบ!AY69"")"),0)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IFERROR(__xludf.DUMMYFUNCTION("IMPORTRANGE(""https://docs.google.com/spreadsheets/d/1QqKyyYR6Q21VydFLVH3TRQUabQu_ym0Zz7PgGX0-kHA/edit?usp=sharing"",""แผน!K69"")"),45)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IFERROR(__xludf.DUMMYFUNCTION("IMPORTRANGE(""https://docs.google.com/spreadsheets/d/1QqKyyYR6Q21VydFLVH3TRQUabQu_ym0Zz7PgGX0-kHA/edit?usp=sharing"",""แผน!L69"")"),15)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IFERROR(__xludf.DUMMYFUNCTION("IMPORTRANGE(""https://docs.google.com/spreadsheets/d/1QqKyyYR6Q21VydFLVH3TRQUabQu_ym0Zz7PgGX0-kHA/edit?usp=sharing"",""แผน!N69"")"),45)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IFERROR(__xludf.DUMMYFUNCTION("IMPORTRANGE(""https://docs.google.com/spreadsheets/d/1QqKyyYR6Q21VydFLVH3TRQUabQu_ym0Zz7PgGX0-kHA/edit?usp=sharing"",""แผน!O69"")"),15)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IFERROR(__xludf.DUMMYFUNCTION("IMPORTRANGE(""https://docs.google.com/spreadsheets/d/1QqKyyYR6Q21VydFLVH3TRQUabQu_ym0Zz7PgGX0-kHA/edit?usp=sharing"",""แผน!O69"")"),15)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IFERROR(__xludf.DUMMYFUNCTION("IMPORTRANGE(""https://docs.google.com/spreadsheets/d/1QqKyyYR6Q21VydFLVH3TRQUabQu_ym0Zz7PgGX0-kHA/edit?usp=sharing"",""แผน!R69"")"),15)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IFERROR(__xludf.DUMMYFUNCTION("IMPORTRANGE(""https://docs.google.com/spreadsheets/d/1QqKyyYR6Q21VydFLVH3TRQUabQu_ym0Zz7PgGX0-kHA/edit?usp=sharing"",""แผน!R69"")"),15)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IFERROR(__xludf.DUMMYFUNCTION("IMPORTRANGE(""https://docs.google.com/spreadsheets/d/1QqKyyYR6Q21VydFLVH3TRQUabQu_ym0Zz7PgGX0-kHA/edit?usp=sharing"",""แผน!R69"")"),15)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IFERROR(__xludf.DUMMYFUNCTION("IMPORTRANGE(""https://docs.google.com/spreadsheets/d/1MeEWN-I1oV_STSDYn1IFDPWt_1FKiwhDph83XaGc0o0/edit?usp=sharing"",""งบพรบ!BA69"")"),0)</f>
        <v>0</v>
      </c>
      <c r="M124" s="93">
        <f ca="1">IFERROR(__xludf.DUMMYFUNCTION("IMPORTRANGE(""https://docs.google.com/spreadsheets/d/1MeEWN-I1oV_STSDYn1IFDPWt_1FKiwhDph83XaGc0o0/edit?usp=sharing"",""งบพรบ!BF69"")"),0)</f>
        <v>0</v>
      </c>
      <c r="N124" s="93">
        <f ca="1">IFERROR(__xludf.DUMMYFUNCTION("IMPORTRANGE(""https://docs.google.com/spreadsheets/d/1MeEWN-I1oV_STSDYn1IFDPWt_1FKiwhDph83XaGc0o0/edit?usp=sharing"",""งบพรบ!BH69"")"),0)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IFERROR(__xludf.DUMMYFUNCTION("IMPORTRANGE(""https://docs.google.com/spreadsheets/d/1MeEWN-I1oV_STSDYn1IFDPWt_1FKiwhDph83XaGc0o0/edit?usp=sharing"",""งบพรบ!BD69"")"),26800)</f>
        <v>26800</v>
      </c>
      <c r="M127" s="93">
        <f ca="1">IFERROR(__xludf.DUMMYFUNCTION("IMPORTRANGE(""https://docs.google.com/spreadsheets/d/1MeEWN-I1oV_STSDYn1IFDPWt_1FKiwhDph83XaGc0o0/edit?usp=sharing"",""งบพรบ!BG69"")"),26800)</f>
        <v>26800</v>
      </c>
      <c r="N127" s="93">
        <f ca="1">IFERROR(__xludf.DUMMYFUNCTION("IMPORTRANGE(""https://docs.google.com/spreadsheets/d/1MeEWN-I1oV_STSDYn1IFDPWt_1FKiwhDph83XaGc0o0/edit?usp=sharing"",""งบพรบ!BI69"")"),26800)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IFERROR(__xludf.DUMMYFUNCTION("IMPORTRANGE(""https://docs.google.com/spreadsheets/d/1MeEWN-I1oV_STSDYn1IFDPWt_1FKiwhDph83XaGc0o0/edit?usp=sharing"",""งบพรบ!BK69"")"),0)</f>
        <v>0</v>
      </c>
      <c r="M137" s="93">
        <f ca="1">IFERROR(__xludf.DUMMYFUNCTION("IMPORTRANGE(""https://docs.google.com/spreadsheets/d/1MeEWN-I1oV_STSDYn1IFDPWt_1FKiwhDph83XaGc0o0/edit?usp=sharing"",""งบพรบ!BP69"")"),0)</f>
        <v>0</v>
      </c>
      <c r="N137" s="93">
        <f ca="1">IFERROR(__xludf.DUMMYFUNCTION("IMPORTRANGE(""https://docs.google.com/spreadsheets/d/1MeEWN-I1oV_STSDYn1IFDPWt_1FKiwhDph83XaGc0o0/edit?usp=sharing"",""งบพรบ!BR69"")"),0)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IFERROR(__xludf.DUMMYFUNCTION("IMPORTRANGE(""https://docs.google.com/spreadsheets/d/1MeEWN-I1oV_STSDYn1IFDPWt_1FKiwhDph83XaGc0o0/edit?usp=sharing"",""งบพรบ!BN69"")"),0)</f>
        <v>0</v>
      </c>
      <c r="M140" s="93">
        <f ca="1">IFERROR(__xludf.DUMMYFUNCTION("IMPORTRANGE(""https://docs.google.com/spreadsheets/d/1MeEWN-I1oV_STSDYn1IFDPWt_1FKiwhDph83XaGc0o0/edit?usp=sharing"",""งบพรบ!BQ69"")"),0)</f>
        <v>0</v>
      </c>
      <c r="N140" s="93">
        <f ca="1">IFERROR(__xludf.DUMMYFUNCTION("IMPORTRANGE(""https://docs.google.com/spreadsheets/d/1MeEWN-I1oV_STSDYn1IFDPWt_1FKiwhDph83XaGc0o0/edit?usp=sharing"",""งบพรบ!BS69"")"),0)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IFERROR(__xludf.DUMMYFUNCTION("IMPORTRANGE(""https://docs.google.com/spreadsheets/d/1MeEWN-I1oV_STSDYn1IFDPWt_1FKiwhDph83XaGc0o0/edit?usp=sharing"",""งบพรบ!BU69"")"),0)</f>
        <v>0</v>
      </c>
      <c r="M154" s="93">
        <f ca="1">IFERROR(__xludf.DUMMYFUNCTION("IMPORTRANGE(""https://docs.google.com/spreadsheets/d/1MeEWN-I1oV_STSDYn1IFDPWt_1FKiwhDph83XaGc0o0/edit?usp=sharing"",""งบพรบ!BZ69"")"),0)</f>
        <v>0</v>
      </c>
      <c r="N154" s="93">
        <f ca="1">IFERROR(__xludf.DUMMYFUNCTION("IMPORTRANGE(""https://docs.google.com/spreadsheets/d/1MeEWN-I1oV_STSDYn1IFDPWt_1FKiwhDph83XaGc0o0/edit?usp=sharing"",""งบพรบ!CB69"")"),0)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IFERROR(__xludf.DUMMYFUNCTION("IMPORTRANGE(""https://docs.google.com/spreadsheets/d/1MeEWN-I1oV_STSDYn1IFDPWt_1FKiwhDph83XaGc0o0/edit?usp=sharing"",""งบพรบ!BX69"")"),0)</f>
        <v>0</v>
      </c>
      <c r="M157" s="93">
        <f ca="1">IFERROR(__xludf.DUMMYFUNCTION("IMPORTRANGE(""https://docs.google.com/spreadsheets/d/1MeEWN-I1oV_STSDYn1IFDPWt_1FKiwhDph83XaGc0o0/edit?usp=sharing"",""งบพรบ!CA69"")"),0)</f>
        <v>0</v>
      </c>
      <c r="N157" s="93">
        <f ca="1">IFERROR(__xludf.DUMMYFUNCTION("IMPORTRANGE(""https://docs.google.com/spreadsheets/d/1MeEWN-I1oV_STSDYn1IFDPWt_1FKiwhDph83XaGc0o0/edit?usp=sharing"",""งบพรบ!CC69"")"),0)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IFERROR(__xludf.DUMMYFUNCTION("IMPORTRANGE(""https://docs.google.com/spreadsheets/d/1MeEWN-I1oV_STSDYn1IFDPWt_1FKiwhDph83XaGc0o0/edit?usp=sharing"",""งบพรบ!CE69"")"),21050)</f>
        <v>21050</v>
      </c>
      <c r="M170" s="93">
        <f ca="1">IFERROR(__xludf.DUMMYFUNCTION("IMPORTRANGE(""https://docs.google.com/spreadsheets/d/1MeEWN-I1oV_STSDYn1IFDPWt_1FKiwhDph83XaGc0o0/edit?usp=sharing"",""งบพรบ!CJ69"")"),21050)</f>
        <v>21050</v>
      </c>
      <c r="N170" s="93">
        <f ca="1">IFERROR(__xludf.DUMMYFUNCTION("IMPORTRANGE(""https://docs.google.com/spreadsheets/d/1MeEWN-I1oV_STSDYn1IFDPWt_1FKiwhDph83XaGc0o0/edit?usp=sharing"",""งบพรบ!CL69"")"),21050)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IFERROR(__xludf.DUMMYFUNCTION("IMPORTRANGE(""https://docs.google.com/spreadsheets/d/1MeEWN-I1oV_STSDYn1IFDPWt_1FKiwhDph83XaGc0o0/edit?usp=sharing"",""งบพรบ!CH69"")"),0)</f>
        <v>0</v>
      </c>
      <c r="M173" s="93">
        <f ca="1">IFERROR(__xludf.DUMMYFUNCTION("IMPORTRANGE(""https://docs.google.com/spreadsheets/d/1MeEWN-I1oV_STSDYn1IFDPWt_1FKiwhDph83XaGc0o0/edit?usp=sharing"",""งบพรบ!CK69"")"),0)</f>
        <v>0</v>
      </c>
      <c r="N173" s="93">
        <f ca="1">IFERROR(__xludf.DUMMYFUNCTION("IMPORTRANGE(""https://docs.google.com/spreadsheets/d/1MeEWN-I1oV_STSDYn1IFDPWt_1FKiwhDph83XaGc0o0/edit?usp=sharing"",""งบพรบ!CM69"")"),0)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60</v>
      </c>
      <c r="J180" s="253">
        <f t="shared" si="91"/>
        <v>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276800</v>
      </c>
      <c r="M181" s="155">
        <f t="shared" ca="1" si="92"/>
        <v>283520</v>
      </c>
      <c r="N181" s="155">
        <f t="shared" ca="1" si="92"/>
        <v>252304</v>
      </c>
      <c r="O181" s="155">
        <f t="shared" ref="O181:O189" ca="1" si="93">IF(L181&gt;0,N181*100/L181,0)</f>
        <v>91.150289017341038</v>
      </c>
      <c r="P181" s="155">
        <f t="shared" ref="P181:P189" ca="1" si="94">IF(M181&gt;0,N181*100/M181,0)</f>
        <v>88.989841986455986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276800</v>
      </c>
      <c r="M183" s="93">
        <f t="shared" ca="1" si="95"/>
        <v>283520</v>
      </c>
      <c r="N183" s="93">
        <f t="shared" ca="1" si="95"/>
        <v>252304</v>
      </c>
      <c r="O183" s="93">
        <f t="shared" ca="1" si="93"/>
        <v>91.150289017341038</v>
      </c>
      <c r="P183" s="93">
        <f t="shared" ca="1" si="94"/>
        <v>88.989841986455986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276800</v>
      </c>
      <c r="M184" s="497">
        <f t="shared" ca="1" si="96"/>
        <v>283520</v>
      </c>
      <c r="N184" s="497">
        <f t="shared" ca="1" si="96"/>
        <v>252304</v>
      </c>
      <c r="O184" s="497">
        <f t="shared" ca="1" si="93"/>
        <v>91.150289017341038</v>
      </c>
      <c r="P184" s="497">
        <f t="shared" ca="1" si="94"/>
        <v>88.989841986455986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IFERROR(__xludf.DUMMYFUNCTION("IMPORTRANGE(""https://docs.google.com/spreadsheets/d/1MeEWN-I1oV_STSDYn1IFDPWt_1FKiwhDph83XaGc0o0/edit?usp=sharing"",""งบพรบ!CO69"")"),276800)</f>
        <v>276800</v>
      </c>
      <c r="M186" s="93">
        <f ca="1">IFERROR(__xludf.DUMMYFUNCTION("IMPORTRANGE(""https://docs.google.com/spreadsheets/d/1MeEWN-I1oV_STSDYn1IFDPWt_1FKiwhDph83XaGc0o0/edit?usp=sharing"",""งบพรบ!CT69"")"),283520)</f>
        <v>283520</v>
      </c>
      <c r="N186" s="93">
        <f ca="1">IFERROR(__xludf.DUMMYFUNCTION("IMPORTRANGE(""https://docs.google.com/spreadsheets/d/1MeEWN-I1oV_STSDYn1IFDPWt_1FKiwhDph83XaGc0o0/edit?usp=sharing"",""งบพรบ!CV69"")"),252304)</f>
        <v>252304</v>
      </c>
      <c r="O186" s="93">
        <f t="shared" ca="1" si="93"/>
        <v>91.150289017341038</v>
      </c>
      <c r="P186" s="93">
        <f t="shared" ca="1" si="94"/>
        <v>88.989841986455986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IFERROR(__xludf.DUMMYFUNCTION("IMPORTRANGE(""https://docs.google.com/spreadsheets/d/1MeEWN-I1oV_STSDYn1IFDPWt_1FKiwhDph83XaGc0o0/edit?usp=sharing"",""งบพรบ!CR69"")"),0)</f>
        <v>0</v>
      </c>
      <c r="M189" s="93">
        <f ca="1">IFERROR(__xludf.DUMMYFUNCTION("IMPORTRANGE(""https://docs.google.com/spreadsheets/d/1MeEWN-I1oV_STSDYn1IFDPWt_1FKiwhDph83XaGc0o0/edit?usp=sharing"",""งบพรบ!CU69"")"),0)</f>
        <v>0</v>
      </c>
      <c r="N189" s="93">
        <f ca="1">IFERROR(__xludf.DUMMYFUNCTION("IMPORTRANGE(""https://docs.google.com/spreadsheets/d/1MeEWN-I1oV_STSDYn1IFDPWt_1FKiwhDph83XaGc0o0/edit?usp=sharing"",""งบพรบ!CW69"")"),0)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IFERROR(__xludf.DUMMYFUNCTION("IMPORTRANGE(""https://docs.google.com/spreadsheets/d/1QqKyyYR6Q21VydFLVH3TRQUabQu_ym0Zz7PgGX0-kHA/edit?usp=sharing"",""แผน!Z69"")"),6000)</f>
        <v>6000</v>
      </c>
      <c r="M191" s="155"/>
      <c r="N191" s="276">
        <v>2180</v>
      </c>
      <c r="O191" s="155">
        <f ca="1">IF(L191&gt;0,N191*100/L191,0)</f>
        <v>36.333333333333336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IFERROR(__xludf.DUMMYFUNCTION("IMPORTRANGE(""https://docs.google.com/spreadsheets/d/1QqKyyYR6Q21VydFLVH3TRQUabQu_ym0Zz7PgGX0-kHA/edit?usp=sharing"",""แผน!AE69"")"),3000)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IFERROR(__xludf.DUMMYFUNCTION("IMPORTRANGE(""https://docs.google.com/spreadsheets/d/1QqKyyYR6Q21VydFLVH3TRQUabQu_ym0Zz7PgGX0-kHA/edit?usp=sharing"",""แผน!AF69"")"),24000)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IFERROR(__xludf.DUMMYFUNCTION("IMPORTRANGE(""https://docs.google.com/spreadsheets/d/1QqKyyYR6Q21VydFLVH3TRQUabQu_ym0Zz7PgGX0-kHA/edit?usp=sharing"",""แผน!AG69"")"),12000)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IFERROR(__xludf.DUMMYFUNCTION("IMPORTRANGE(""https://docs.google.com/spreadsheets/d/1QqKyyYR6Q21VydFLVH3TRQUabQu_ym0Zz7PgGX0-kHA/edit?usp=sharing"",""แผน!AI69"")"),3)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IFERROR(__xludf.DUMMYFUNCTION("IMPORTRANGE(""https://docs.google.com/spreadsheets/d/1QqKyyYR6Q21VydFLVH3TRQUabQu_ym0Zz7PgGX0-kHA/edit?usp=sharing"",""แผน!AK69"")"),6000)</f>
        <v>6000</v>
      </c>
      <c r="M210" s="497"/>
      <c r="N210" s="284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IFERROR(__xludf.DUMMYFUNCTION("IMPORTRANGE(""https://docs.google.com/spreadsheets/d/1QqKyyYR6Q21VydFLVH3TRQUabQu_ym0Zz7PgGX0-kHA/edit?usp=sharing"",""แผน!AL69"")"),30000)</f>
        <v>30000</v>
      </c>
      <c r="M211" s="497"/>
      <c r="N211" s="284">
        <v>30000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IFERROR(__xludf.DUMMYFUNCTION("IMPORTRANGE(""https://docs.google.com/spreadsheets/d/1QqKyyYR6Q21VydFLVH3TRQUabQu_ym0Zz7PgGX0-kHA/edit?usp=sharing"",""แผน!AM69"")"),48000)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IFERROR(__xludf.DUMMYFUNCTION("IMPORTRANGE(""https://docs.google.com/spreadsheets/d/1QqKyyYR6Q21VydFLVH3TRQUabQu_ym0Zz7PgGX0-kHA/edit?usp=sharing"",""แผน!AN69"")"),6)</f>
        <v>6</v>
      </c>
      <c r="J214" s="215">
        <v>6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IFERROR(__xludf.DUMMYFUNCTION("IMPORTRANGE(""https://docs.google.com/spreadsheets/d/1QqKyyYR6Q21VydFLVH3TRQUabQu_ym0Zz7PgGX0-kHA/edit?usp=sharing"",""แผน!AN69"")"),6)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IFERROR(__xludf.DUMMYFUNCTION("IMPORTRANGE(""https://docs.google.com/spreadsheets/d/1QqKyyYR6Q21VydFLVH3TRQUabQu_ym0Zz7PgGX0-kHA/edit?usp=sharing"",""แผน!AQ69"")"),10000)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IFERROR(__xludf.DUMMYFUNCTION("IMPORTRANGE(""https://docs.google.com/spreadsheets/d/1QqKyyYR6Q21VydFLVH3TRQUabQu_ym0Zz7PgGX0-kHA/edit?usp=sharing"",""แผน!AT69"")"),40000)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IFERROR(__xludf.DUMMYFUNCTION("IMPORTRANGE(""https://docs.google.com/spreadsheets/d/1QqKyyYR6Q21VydFLVH3TRQUabQu_ym0Zz7PgGX0-kHA/edit?usp=sharing"",""แผน!AT69"")"),40000)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132800</v>
      </c>
      <c r="M227" s="356"/>
      <c r="N227" s="356">
        <f t="shared" ref="N227:N231" si="107">N238+N249</f>
        <v>123580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40000</v>
      </c>
      <c r="M228" s="93"/>
      <c r="N228" s="93">
        <f t="shared" si="107"/>
        <v>30990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52800</v>
      </c>
      <c r="M229" s="93"/>
      <c r="N229" s="93">
        <f t="shared" si="107"/>
        <v>52800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19790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2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68800</v>
      </c>
      <c r="M238" s="155"/>
      <c r="N238" s="155">
        <f>N239+N240+N241+N242</f>
        <v>62210</v>
      </c>
      <c r="O238" s="155">
        <f ca="1">IF(L238&gt;0,N238*100/L238,0)</f>
        <v>90.42151162790698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IFERROR(__xludf.DUMMYFUNCTION("IMPORTRANGE(""https://docs.google.com/spreadsheets/d/1QqKyyYR6Q21VydFLVH3TRQUabQu_ym0Zz7PgGX0-kHA/edit?usp=sharing"",""แผน!AV69"")"),20000)</f>
        <v>20000</v>
      </c>
      <c r="M239" s="283"/>
      <c r="N239" s="872">
        <v>13620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IFERROR(__xludf.DUMMYFUNCTION("IMPORTRANGE(""https://docs.google.com/spreadsheets/d/1QqKyyYR6Q21VydFLVH3TRQUabQu_ym0Zz7PgGX0-kHA/edit?usp=sharing"",""แผน!AW69"")"),18800)</f>
        <v>18800</v>
      </c>
      <c r="M240" s="283"/>
      <c r="N240" s="872">
        <v>18800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IFERROR(__xludf.DUMMYFUNCTION("IMPORTRANGE(""https://docs.google.com/spreadsheets/d/1QqKyyYR6Q21VydFLVH3TRQUabQu_ym0Zz7PgGX0-kHA/edit?usp=sharing"",""แผน!AX69"")"),20000)</f>
        <v>20000</v>
      </c>
      <c r="M241" s="283"/>
      <c r="N241" s="872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IFERROR(__xludf.DUMMYFUNCTION("IMPORTRANGE(""https://docs.google.com/spreadsheets/d/1QqKyyYR6Q21VydFLVH3TRQUabQu_ym0Zz7PgGX0-kHA/edit?usp=sharing"",""แผน!AY69"")"),10000)</f>
        <v>10000</v>
      </c>
      <c r="M242" s="283"/>
      <c r="N242" s="872">
        <v>9790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64000</v>
      </c>
      <c r="M249" s="155"/>
      <c r="N249" s="155">
        <f>N250+N251+N252+N253</f>
        <v>61370</v>
      </c>
      <c r="O249" s="155">
        <f ca="1">IF(L249&gt;0,N249*100/L249,0)</f>
        <v>95.890625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IFERROR(__xludf.DUMMYFUNCTION("IMPORTRANGE(""https://docs.google.com/spreadsheets/d/1QqKyyYR6Q21VydFLVH3TRQUabQu_ym0Zz7PgGX0-kHA/edit?usp=sharing"",""แผน!AZ69"")"),20000)</f>
        <v>20000</v>
      </c>
      <c r="M250" s="283"/>
      <c r="N250" s="872">
        <v>17370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IFERROR(__xludf.DUMMYFUNCTION("IMPORTRANGE(""https://docs.google.com/spreadsheets/d/1QqKyyYR6Q21VydFLVH3TRQUabQu_ym0Zz7PgGX0-kHA/edit?usp=sharing"",""แผน!BA69"")"),34000)</f>
        <v>34000</v>
      </c>
      <c r="M251" s="283"/>
      <c r="N251" s="872">
        <v>34000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IFERROR(__xludf.DUMMYFUNCTION("IMPORTRANGE(""https://docs.google.com/spreadsheets/d/1QqKyyYR6Q21VydFLVH3TRQUabQu_ym0Zz7PgGX0-kHA/edit?usp=sharing"",""แผน!BB69"")"),0)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IFERROR(__xludf.DUMMYFUNCTION("IMPORTRANGE(""https://docs.google.com/spreadsheets/d/1QqKyyYR6Q21VydFLVH3TRQUabQu_ym0Zz7PgGX0-kHA/edit?usp=sharing"",""แผน!BC69"")"),10000)</f>
        <v>10000</v>
      </c>
      <c r="M253" s="283"/>
      <c r="N253" s="872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IFERROR(__xludf.DUMMYFUNCTION("IMPORTRANGE(""https://docs.google.com/spreadsheets/d/1QqKyyYR6Q21VydFLVH3TRQUabQu_ym0Zz7PgGX0-kHA/edit?usp=sharing"",""แผน!BF69"")"),40)</f>
        <v>40</v>
      </c>
      <c r="J255" s="215">
        <v>40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0</v>
      </c>
      <c r="J257" s="215"/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1</v>
      </c>
      <c r="K258" s="497">
        <f t="shared" si="114"/>
        <v>100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16900</v>
      </c>
      <c r="O261" s="155">
        <f t="shared" ref="O261:O269" ca="1" si="117">IF(L261&gt;0,N261*100/L261,0)</f>
        <v>62.825278810408925</v>
      </c>
      <c r="P261" s="155">
        <f t="shared" ref="P261:P269" ca="1" si="118">IF(M261&gt;0,N261*100/M261,0)</f>
        <v>62.825278810408925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16900</v>
      </c>
      <c r="O263" s="93">
        <f t="shared" ca="1" si="117"/>
        <v>62.825278810408925</v>
      </c>
      <c r="P263" s="93">
        <f t="shared" ca="1" si="118"/>
        <v>62.825278810408925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16900</v>
      </c>
      <c r="O264" s="497">
        <f t="shared" ca="1" si="117"/>
        <v>62.825278810408925</v>
      </c>
      <c r="P264" s="497">
        <f t="shared" ca="1" si="118"/>
        <v>62.825278810408925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IFERROR(__xludf.DUMMYFUNCTION("IMPORTRANGE(""https://docs.google.com/spreadsheets/d/1MeEWN-I1oV_STSDYn1IFDPWt_1FKiwhDph83XaGc0o0/edit?usp=sharing"",""งบพรบ!CY69"")"),26900)</f>
        <v>26900</v>
      </c>
      <c r="M266" s="93">
        <f ca="1">IFERROR(__xludf.DUMMYFUNCTION("IMPORTRANGE(""https://docs.google.com/spreadsheets/d/1MeEWN-I1oV_STSDYn1IFDPWt_1FKiwhDph83XaGc0o0/edit?usp=sharing"",""งบพรบ!DD69"")"),26900)</f>
        <v>26900</v>
      </c>
      <c r="N266" s="93">
        <f ca="1">IFERROR(__xludf.DUMMYFUNCTION("IMPORTRANGE(""https://docs.google.com/spreadsheets/d/1MeEWN-I1oV_STSDYn1IFDPWt_1FKiwhDph83XaGc0o0/edit?usp=sharing"",""งบพรบ!DF69"")"),16900)</f>
        <v>16900</v>
      </c>
      <c r="O266" s="93">
        <f t="shared" ca="1" si="117"/>
        <v>62.825278810408925</v>
      </c>
      <c r="P266" s="93">
        <f t="shared" ca="1" si="118"/>
        <v>62.825278810408925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IFERROR(__xludf.DUMMYFUNCTION("IMPORTRANGE(""https://docs.google.com/spreadsheets/d/1MeEWN-I1oV_STSDYn1IFDPWt_1FKiwhDph83XaGc0o0/edit?usp=sharing"",""งบพรบ!DB69"")"),0)</f>
        <v>0</v>
      </c>
      <c r="M269" s="93">
        <f ca="1">IFERROR(__xludf.DUMMYFUNCTION("IMPORTRANGE(""https://docs.google.com/spreadsheets/d/1MeEWN-I1oV_STSDYn1IFDPWt_1FKiwhDph83XaGc0o0/edit?usp=sharing"",""งบพรบ!DE69"")"),0)</f>
        <v>0</v>
      </c>
      <c r="N269" s="93">
        <f ca="1">IFERROR(__xludf.DUMMYFUNCTION("IMPORTRANGE(""https://docs.google.com/spreadsheets/d/1MeEWN-I1oV_STSDYn1IFDPWt_1FKiwhDph83XaGc0o0/edit?usp=sharing"",""งบพรบ!DG69"")"),0)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300</v>
      </c>
      <c r="J276" s="874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49700</v>
      </c>
      <c r="O277" s="155">
        <f t="shared" ref="O277:O285" ca="1" si="126">IF(L277&gt;0,N277*100/L277,0)</f>
        <v>44.490197833676483</v>
      </c>
      <c r="P277" s="155">
        <f t="shared" ref="P277:P285" ca="1" si="127">IF(M277&gt;0,N277*100/M277,0)</f>
        <v>44.490197833676483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49700</v>
      </c>
      <c r="O279" s="93">
        <f t="shared" ca="1" si="126"/>
        <v>44.490197833676483</v>
      </c>
      <c r="P279" s="93">
        <f t="shared" ca="1" si="127"/>
        <v>44.490197833676483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49700</v>
      </c>
      <c r="O280" s="497">
        <f t="shared" ca="1" si="126"/>
        <v>44.490197833676483</v>
      </c>
      <c r="P280" s="497">
        <f t="shared" ca="1" si="127"/>
        <v>44.490197833676483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IFERROR(__xludf.DUMMYFUNCTION("IMPORTRANGE(""https://docs.google.com/spreadsheets/d/1MeEWN-I1oV_STSDYn1IFDPWt_1FKiwhDph83XaGc0o0/edit?usp=sharing"",""งบพรบ!DI69"")"),111710)</f>
        <v>111710</v>
      </c>
      <c r="M282" s="93">
        <f ca="1">IFERROR(__xludf.DUMMYFUNCTION("IMPORTRANGE(""https://docs.google.com/spreadsheets/d/1MeEWN-I1oV_STSDYn1IFDPWt_1FKiwhDph83XaGc0o0/edit?usp=sharing"",""งบพรบ!DN69"")"),111710)</f>
        <v>111710</v>
      </c>
      <c r="N282" s="93">
        <f ca="1">IFERROR(__xludf.DUMMYFUNCTION("IMPORTRANGE(""https://docs.google.com/spreadsheets/d/1MeEWN-I1oV_STSDYn1IFDPWt_1FKiwhDph83XaGc0o0/edit?usp=sharing"",""งบพรบ!DP69"")"),49700)</f>
        <v>49700</v>
      </c>
      <c r="O282" s="93">
        <f t="shared" ca="1" si="126"/>
        <v>44.490197833676483</v>
      </c>
      <c r="P282" s="93">
        <f t="shared" ca="1" si="127"/>
        <v>44.490197833676483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IFERROR(__xludf.DUMMYFUNCTION("IMPORTRANGE(""https://docs.google.com/spreadsheets/d/1MeEWN-I1oV_STSDYn1IFDPWt_1FKiwhDph83XaGc0o0/edit?usp=sharing"",""งบพรบ!DL69"")"),0)</f>
        <v>0</v>
      </c>
      <c r="M285" s="93">
        <f ca="1">IFERROR(__xludf.DUMMYFUNCTION("IMPORTRANGE(""https://docs.google.com/spreadsheets/d/1MeEWN-I1oV_STSDYn1IFDPWt_1FKiwhDph83XaGc0o0/edit?usp=sharing"",""งบพรบ!DO69"")"),0)</f>
        <v>0</v>
      </c>
      <c r="N285" s="93">
        <f ca="1">IFERROR(__xludf.DUMMYFUNCTION("IMPORTRANGE(""https://docs.google.com/spreadsheets/d/1MeEWN-I1oV_STSDYn1IFDPWt_1FKiwhDph83XaGc0o0/edit?usp=sharing"",""งบพรบ!DQ69"")"),0)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IFERROR(__xludf.DUMMYFUNCTION("IMPORTRANGE(""https://docs.google.com/spreadsheets/d/1QqKyyYR6Q21VydFLVH3TRQUabQu_ym0Zz7PgGX0-kHA/edit?usp=sharing"",""แผน!EC69"")"),300)</f>
        <v>300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IFERROR(__xludf.DUMMYFUNCTION("IMPORTRANGE(""https://docs.google.com/spreadsheets/d/1QqKyyYR6Q21VydFLVH3TRQUabQu_ym0Zz7PgGX0-kHA/edit?usp=sharing"",""แผน!EB69"")"),30)</f>
        <v>30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IFERROR(__xludf.DUMMYFUNCTION("IMPORTRANGE(""https://docs.google.com/spreadsheets/d/1QqKyyYR6Q21VydFLVH3TRQUabQu_ym0Zz7PgGX0-kHA/edit?usp=sharing"",""แผน!EB69"")"),30)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IFERROR(__xludf.DUMMYFUNCTION("IMPORTRANGE(""https://docs.google.com/spreadsheets/d/1QqKyyYR6Q21VydFLVH3TRQUabQu_ym0Zz7PgGX0-kHA/edit?usp=sharing"",""แผน!EB69"")"),30)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IFERROR(__xludf.DUMMYFUNCTION("IMPORTRANGE(""https://docs.google.com/spreadsheets/d/1QqKyyYR6Q21VydFLVH3TRQUabQu_ym0Zz7PgGX0-kHA/edit?usp=sharing"",""แผน!EB69"")"),30)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IFERROR(__xludf.DUMMYFUNCTION("IMPORTRANGE(""https://docs.google.com/spreadsheets/d/1QqKyyYR6Q21VydFLVH3TRQUabQu_ym0Zz7PgGX0-kHA/edit?usp=sharing"",""แผน!EB69"")"),30)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IFERROR(__xludf.DUMMYFUNCTION("IMPORTRANGE(""https://docs.google.com/spreadsheets/d/1MeEWN-I1oV_STSDYn1IFDPWt_1FKiwhDph83XaGc0o0/edit?usp=sharing"",""งบพรบ!DS69"")"),0)</f>
        <v>0</v>
      </c>
      <c r="M303" s="93">
        <f ca="1">IFERROR(__xludf.DUMMYFUNCTION("IMPORTRANGE(""https://docs.google.com/spreadsheets/d/1MeEWN-I1oV_STSDYn1IFDPWt_1FKiwhDph83XaGc0o0/edit?usp=sharing"",""งบพรบ!DX69"")"),0)</f>
        <v>0</v>
      </c>
      <c r="N303" s="93">
        <f ca="1">IFERROR(__xludf.DUMMYFUNCTION("IMPORTRANGE(""https://docs.google.com/spreadsheets/d/1MeEWN-I1oV_STSDYn1IFDPWt_1FKiwhDph83XaGc0o0/edit?usp=sharing"",""งบพรบ!DZ69"")"),0)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IFERROR(__xludf.DUMMYFUNCTION("IMPORTRANGE(""https://docs.google.com/spreadsheets/d/1MeEWN-I1oV_STSDYn1IFDPWt_1FKiwhDph83XaGc0o0/edit?usp=sharing"",""งบพรบ!DV69"")"),0)</f>
        <v>0</v>
      </c>
      <c r="M306" s="93">
        <f ca="1">IFERROR(__xludf.DUMMYFUNCTION("IMPORTRANGE(""https://docs.google.com/spreadsheets/d/1MeEWN-I1oV_STSDYn1IFDPWt_1FKiwhDph83XaGc0o0/edit?usp=sharing"",""งบพรบ!DY69"")"),0)</f>
        <v>0</v>
      </c>
      <c r="N306" s="93">
        <f ca="1">IFERROR(__xludf.DUMMYFUNCTION("IMPORTRANGE(""https://docs.google.com/spreadsheets/d/1MeEWN-I1oV_STSDYn1IFDPWt_1FKiwhDph83XaGc0o0/edit?usp=sharing"",""งบพรบ!EA69"")"),0)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153000</v>
      </c>
      <c r="N315" s="155">
        <f t="shared" ca="1" si="143"/>
        <v>111272.15</v>
      </c>
      <c r="O315" s="155">
        <f t="shared" ref="O315:O323" ca="1" si="144">IF(L315&gt;0,N315*100/L315,0)</f>
        <v>72.726895424836599</v>
      </c>
      <c r="P315" s="155">
        <f t="shared" ref="P315:P323" ca="1" si="145">IF(M315&gt;0,N315*100/M315,0)</f>
        <v>72.726895424836599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153000</v>
      </c>
      <c r="N317" s="93">
        <f t="shared" ca="1" si="146"/>
        <v>111272.15</v>
      </c>
      <c r="O317" s="93">
        <f t="shared" ca="1" si="144"/>
        <v>72.726895424836599</v>
      </c>
      <c r="P317" s="93">
        <f t="shared" ca="1" si="145"/>
        <v>72.726895424836599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153000</v>
      </c>
      <c r="N318" s="497">
        <f t="shared" ca="1" si="147"/>
        <v>111272.15</v>
      </c>
      <c r="O318" s="497">
        <f t="shared" ca="1" si="144"/>
        <v>72.726895424836599</v>
      </c>
      <c r="P318" s="497">
        <f t="shared" ca="1" si="145"/>
        <v>72.726895424836599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IFERROR(__xludf.DUMMYFUNCTION("IMPORTRANGE(""https://docs.google.com/spreadsheets/d/1MeEWN-I1oV_STSDYn1IFDPWt_1FKiwhDph83XaGc0o0/edit?usp=sharing"",""งบพรบ!EC69"")"),153000)</f>
        <v>153000</v>
      </c>
      <c r="M320" s="93">
        <f ca="1">IFERROR(__xludf.DUMMYFUNCTION("IMPORTRANGE(""https://docs.google.com/spreadsheets/d/1MeEWN-I1oV_STSDYn1IFDPWt_1FKiwhDph83XaGc0o0/edit?usp=sharing"",""งบพรบ!EH69"")"),153000)</f>
        <v>153000</v>
      </c>
      <c r="N320" s="93">
        <f ca="1">IFERROR(__xludf.DUMMYFUNCTION("IMPORTRANGE(""https://docs.google.com/spreadsheets/d/1MeEWN-I1oV_STSDYn1IFDPWt_1FKiwhDph83XaGc0o0/edit?usp=sharing"",""งบพรบ!EJ69"")"),111272.15)</f>
        <v>111272.15</v>
      </c>
      <c r="O320" s="93">
        <f t="shared" ca="1" si="144"/>
        <v>72.726895424836599</v>
      </c>
      <c r="P320" s="93">
        <f t="shared" ca="1" si="145"/>
        <v>72.726895424836599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IFERROR(__xludf.DUMMYFUNCTION("IMPORTRANGE(""https://docs.google.com/spreadsheets/d/1MeEWN-I1oV_STSDYn1IFDPWt_1FKiwhDph83XaGc0o0/edit?usp=sharing"",""งบพรบ!EF69"")"),0)</f>
        <v>0</v>
      </c>
      <c r="M323" s="93">
        <f ca="1">IFERROR(__xludf.DUMMYFUNCTION("IMPORTRANGE(""https://docs.google.com/spreadsheets/d/1MeEWN-I1oV_STSDYn1IFDPWt_1FKiwhDph83XaGc0o0/edit?usp=sharing"",""งบพรบ!EI69"")"),0)</f>
        <v>0</v>
      </c>
      <c r="N323" s="93">
        <f ca="1">IFERROR(__xludf.DUMMYFUNCTION("IMPORTRANGE(""https://docs.google.com/spreadsheets/d/1MeEWN-I1oV_STSDYn1IFDPWt_1FKiwhDph83XaGc0o0/edit?usp=sharing"",""งบพรบ!EK69"")"),0)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IFERROR(__xludf.DUMMYFUNCTION("IMPORTRANGE(""https://docs.google.com/spreadsheets/d/1QqKyyYR6Q21VydFLVH3TRQUabQu_ym0Zz7PgGX0-kHA/edit?usp=sharing"",""แผน!EF69"")"),2)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IFERROR(__xludf.DUMMYFUNCTION("IMPORTRANGE(""https://docs.google.com/spreadsheets/d/1QqKyyYR6Q21VydFLVH3TRQUabQu_ym0Zz7PgGX0-kHA/edit?usp=sharing"",""แผน!EG69"")"),5300)</f>
        <v>5300</v>
      </c>
      <c r="J327" s="444">
        <f ca="1">J338+J341+J342+J343</f>
        <v>6380</v>
      </c>
      <c r="K327" s="445">
        <f ca="1">IF(I327&gt;0,J327*100/I327,0)</f>
        <v>120.37735849056604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182000</v>
      </c>
      <c r="M328" s="155">
        <f t="shared" ca="1" si="149"/>
        <v>184500</v>
      </c>
      <c r="N328" s="155">
        <f t="shared" ca="1" si="149"/>
        <v>132411.29999999999</v>
      </c>
      <c r="O328" s="155">
        <f t="shared" ref="O328:O336" ca="1" si="150">IF(L328&gt;0,N328*100/L328,0)</f>
        <v>72.753461538461522</v>
      </c>
      <c r="P328" s="155">
        <f t="shared" ref="P328:P336" ca="1" si="151">IF(M328&gt;0,N328*100/M328,0)</f>
        <v>71.767642276422748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182000</v>
      </c>
      <c r="M330" s="93">
        <f t="shared" ca="1" si="152"/>
        <v>184500</v>
      </c>
      <c r="N330" s="93">
        <f t="shared" ca="1" si="152"/>
        <v>132411.29999999999</v>
      </c>
      <c r="O330" s="93">
        <f t="shared" ca="1" si="150"/>
        <v>72.753461538461522</v>
      </c>
      <c r="P330" s="93">
        <f t="shared" ca="1" si="151"/>
        <v>71.767642276422748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182000</v>
      </c>
      <c r="M331" s="497">
        <f t="shared" ca="1" si="153"/>
        <v>184500</v>
      </c>
      <c r="N331" s="497">
        <f t="shared" ca="1" si="153"/>
        <v>132411.29999999999</v>
      </c>
      <c r="O331" s="497">
        <f t="shared" ca="1" si="150"/>
        <v>72.753461538461522</v>
      </c>
      <c r="P331" s="497">
        <f t="shared" ca="1" si="151"/>
        <v>71.767642276422748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IFERROR(__xludf.DUMMYFUNCTION("IMPORTRANGE(""https://docs.google.com/spreadsheets/d/1MeEWN-I1oV_STSDYn1IFDPWt_1FKiwhDph83XaGc0o0/edit?usp=sharing"",""งบพรบ!EM69"")"),182000)</f>
        <v>182000</v>
      </c>
      <c r="M333" s="93">
        <f ca="1">IFERROR(__xludf.DUMMYFUNCTION("IMPORTRANGE(""https://docs.google.com/spreadsheets/d/1MeEWN-I1oV_STSDYn1IFDPWt_1FKiwhDph83XaGc0o0/edit?usp=sharing"",""งบพรบ!ER69"")"),184500)</f>
        <v>184500</v>
      </c>
      <c r="N333" s="93">
        <f ca="1">IFERROR(__xludf.DUMMYFUNCTION("IMPORTRANGE(""https://docs.google.com/spreadsheets/d/1MeEWN-I1oV_STSDYn1IFDPWt_1FKiwhDph83XaGc0o0/edit?usp=sharing"",""งบพรบ!ET69"")"),132411.3)</f>
        <v>132411.29999999999</v>
      </c>
      <c r="O333" s="93">
        <f t="shared" ca="1" si="150"/>
        <v>72.753461538461522</v>
      </c>
      <c r="P333" s="93">
        <f t="shared" ca="1" si="151"/>
        <v>71.767642276422748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IFERROR(__xludf.DUMMYFUNCTION("IMPORTRANGE(""https://docs.google.com/spreadsheets/d/1MeEWN-I1oV_STSDYn1IFDPWt_1FKiwhDph83XaGc0o0/edit?usp=sharing"",""งบพรบ!EP69"")"),0)</f>
        <v>0</v>
      </c>
      <c r="M336" s="93">
        <f ca="1">IFERROR(__xludf.DUMMYFUNCTION("IMPORTRANGE(""https://docs.google.com/spreadsheets/d/1MeEWN-I1oV_STSDYn1IFDPWt_1FKiwhDph83XaGc0o0/edit?usp=sharing"",""งบพรบ!ES69"")"),0)</f>
        <v>0</v>
      </c>
      <c r="N336" s="93">
        <f ca="1">IFERROR(__xludf.DUMMYFUNCTION("IMPORTRANGE(""https://docs.google.com/spreadsheets/d/1MeEWN-I1oV_STSDYn1IFDPWt_1FKiwhDph83XaGc0o0/edit?usp=sharing"",""งบพรบ!EU69"")"),0)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IFERROR(__xludf.DUMMYFUNCTION("IMPORTRANGE(""https://docs.google.com/spreadsheets/d/1QqKyyYR6Q21VydFLVH3TRQUabQu_ym0Zz7PgGX0-kHA/edit?usp=sharing"",""แผน!EG69"")"),5300)</f>
        <v>5300</v>
      </c>
      <c r="J338" s="270">
        <f ca="1">IFERROR(__xludf.DUMMYFUNCTION("IMPORTRANGE(""https://docs.google.com/spreadsheets/d/1kVcqe37tkHyjCSG3S0O1AXqVkqjo8mSIZil3BcpIysc/edit?usp=sharing"",""ศูนย์!D69"")"),6302)</f>
        <v>6302</v>
      </c>
      <c r="K338" s="497">
        <f ca="1">IF(I338&gt;0,J338*100/I338,0)</f>
        <v>118.90566037735849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IFERROR(__xludf.DUMMYFUNCTION("IMPORTRANGE(""https://docs.google.com/spreadsheets/d/1QqKyyYR6Q21VydFLVH3TRQUabQu_ym0Zz7PgGX0-kHA/edit?usp=sharing"",""แผน!EH69"")"),7)</f>
        <v>7</v>
      </c>
      <c r="J340" s="270">
        <f ca="1">IFERROR(__xludf.DUMMYFUNCTION("IMPORTRANGE(""https://docs.google.com/spreadsheets/d/1kVcqe37tkHyjCSG3S0O1AXqVkqjo8mSIZil3BcpIysc/edit?usp=sharing"",""ศูนย์!E69"")"),8)</f>
        <v>8</v>
      </c>
      <c r="K340" s="497">
        <f ca="1">IF(I340&gt;0,J340*100/I340,0)</f>
        <v>114.28571428571429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IFERROR(__xludf.DUMMYFUNCTION("IMPORTRANGE(""https://docs.google.com/spreadsheets/d/1kVcqe37tkHyjCSG3S0O1AXqVkqjo8mSIZil3BcpIysc/edit?usp=sharing"",""ศูนย์!F69"")"),78)</f>
        <v>78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1533320</v>
      </c>
      <c r="M345" s="155">
        <f t="shared" ca="1" si="155"/>
        <v>1533620</v>
      </c>
      <c r="N345" s="155">
        <f t="shared" ca="1" si="155"/>
        <v>1012982.16</v>
      </c>
      <c r="O345" s="155">
        <f t="shared" ref="O345:O353" ca="1" si="156">IF(L345&gt;0,N345*100/L345,0)</f>
        <v>66.064628388072933</v>
      </c>
      <c r="P345" s="155">
        <f t="shared" ref="P345:P353" ca="1" si="157">IF(M345&gt;0,N345*100/M345,0)</f>
        <v>66.051705116000051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1533320</v>
      </c>
      <c r="M347" s="93">
        <f t="shared" ca="1" si="158"/>
        <v>1533620</v>
      </c>
      <c r="N347" s="93">
        <f t="shared" ca="1" si="158"/>
        <v>1012982.16</v>
      </c>
      <c r="O347" s="93">
        <f t="shared" ca="1" si="156"/>
        <v>66.064628388072933</v>
      </c>
      <c r="P347" s="93">
        <f t="shared" ca="1" si="157"/>
        <v>66.051705116000051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1435520</v>
      </c>
      <c r="M348" s="497">
        <f t="shared" ca="1" si="159"/>
        <v>1435820</v>
      </c>
      <c r="N348" s="497">
        <f t="shared" ca="1" si="159"/>
        <v>915182.16</v>
      </c>
      <c r="O348" s="497">
        <f t="shared" ca="1" si="156"/>
        <v>63.752658270173875</v>
      </c>
      <c r="P348" s="497">
        <f t="shared" ca="1" si="157"/>
        <v>63.739337800002787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IFERROR(__xludf.DUMMYFUNCTION("IMPORTRANGE(""https://docs.google.com/spreadsheets/d/1MeEWN-I1oV_STSDYn1IFDPWt_1FKiwhDph83XaGc0o0/edit?usp=sharing"",""งบพรบ!EW69"")"),1435520)</f>
        <v>1435520</v>
      </c>
      <c r="M350" s="93">
        <f ca="1">IFERROR(__xludf.DUMMYFUNCTION("IMPORTRANGE(""https://docs.google.com/spreadsheets/d/1MeEWN-I1oV_STSDYn1IFDPWt_1FKiwhDph83XaGc0o0/edit?usp=sharing"",""งบพรบ!FB69"")"),1435820)</f>
        <v>1435820</v>
      </c>
      <c r="N350" s="93">
        <f ca="1">IFERROR(__xludf.DUMMYFUNCTION("IMPORTRANGE(""https://docs.google.com/spreadsheets/d/1MeEWN-I1oV_STSDYn1IFDPWt_1FKiwhDph83XaGc0o0/edit?usp=sharing"",""งบพรบ!FD69"")"),915182.16)</f>
        <v>915182.16</v>
      </c>
      <c r="O350" s="93">
        <f t="shared" ca="1" si="156"/>
        <v>63.752658270173875</v>
      </c>
      <c r="P350" s="93">
        <f t="shared" ca="1" si="157"/>
        <v>63.739337800002787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97800</v>
      </c>
      <c r="N351" s="497">
        <f t="shared" ca="1" si="160"/>
        <v>97800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IFERROR(__xludf.DUMMYFUNCTION("IMPORTRANGE(""https://docs.google.com/spreadsheets/d/1MeEWN-I1oV_STSDYn1IFDPWt_1FKiwhDph83XaGc0o0/edit?usp=sharing"",""งบพรบ!EZ69"")"),97800)</f>
        <v>97800</v>
      </c>
      <c r="M353" s="93">
        <f ca="1">IFERROR(__xludf.DUMMYFUNCTION("IMPORTRANGE(""https://docs.google.com/spreadsheets/d/1MeEWN-I1oV_STSDYn1IFDPWt_1FKiwhDph83XaGc0o0/edit?usp=sharing"",""งบพรบ!FC69"")"),97800)</f>
        <v>97800</v>
      </c>
      <c r="N353" s="93">
        <f ca="1">IFERROR(__xludf.DUMMYFUNCTION("IMPORTRANGE(""https://docs.google.com/spreadsheets/d/1MeEWN-I1oV_STSDYn1IFDPWt_1FKiwhDph83XaGc0o0/edit?usp=sharing"",""งบพรบ!FE69"")"),97800)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IFERROR(__xludf.DUMMYFUNCTION("IMPORTRANGE(""https://docs.google.com/spreadsheets/d/1QqKyyYR6Q21VydFLVH3TRQUabQu_ym0Zz7PgGX0-kHA/edit?usp=sharing"",""แผน!EP69"")"),570)</f>
        <v>570</v>
      </c>
      <c r="J355" s="464">
        <f ca="1">J362</f>
        <v>187</v>
      </c>
      <c r="K355" s="465">
        <f ca="1">IF(I355&gt;0,J355*100/I355,0)</f>
        <v>32.807017543859651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IFERROR(__xludf.DUMMYFUNCTION("IMPORTRANGE(""https://docs.google.com/spreadsheets/d/1XWAQStnk-4SwqDmLtmXYiTMKHgktTP8We1SCoS47DrQ/edit?usp=sharing"",""จัดที่ดิน!W69"")"),357)</f>
        <v>357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IFERROR(__xludf.DUMMYFUNCTION("IMPORTRANGE(""https://docs.google.com/spreadsheets/d/1QqKyyYR6Q21VydFLVH3TRQUabQu_ym0Zz7PgGX0-kHA/edit?usp=sharing"",""แผน!EO69"")"),8500)</f>
        <v>8500</v>
      </c>
      <c r="J359" s="270">
        <f ca="1">IFERROR(__xludf.DUMMYFUNCTION("IMPORTRANGE(""https://docs.google.com/spreadsheets/d/1XWAQStnk-4SwqDmLtmXYiTMKHgktTP8We1SCoS47DrQ/edit?usp=sharing"",""จัดที่ดิน!X69"")"),5409.87999999999)</f>
        <v>5409.8799999999901</v>
      </c>
      <c r="K359" s="497">
        <f t="shared" ca="1" si="161"/>
        <v>63.645647058823421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IFERROR(__xludf.DUMMYFUNCTION("IMPORTRANGE(""https://docs.google.com/spreadsheets/d/1QqKyyYR6Q21VydFLVH3TRQUabQu_ym0Zz7PgGX0-kHA/edit?usp=sharing"",""แผน!EP69"")"),570)</f>
        <v>570</v>
      </c>
      <c r="J360" s="270">
        <f ca="1">IFERROR(__xludf.DUMMYFUNCTION("IMPORTRANGE(""https://docs.google.com/spreadsheets/d/1XWAQStnk-4SwqDmLtmXYiTMKHgktTP8We1SCoS47DrQ/edit?usp=sharing"",""จัดที่ดิน!Y69"")"),441)</f>
        <v>441</v>
      </c>
      <c r="K360" s="497">
        <f t="shared" ca="1" si="161"/>
        <v>77.368421052631575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IFERROR(__xludf.DUMMYFUNCTION("IMPORTRANGE(""https://docs.google.com/spreadsheets/d/1XWAQStnk-4SwqDmLtmXYiTMKHgktTP8We1SCoS47DrQ/edit?usp=sharing"",""จัดที่ดิน!Z69"")"),6570.55)</f>
        <v>6570.55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IFERROR(__xludf.DUMMYFUNCTION("IMPORTRANGE(""https://docs.google.com/spreadsheets/d/1QqKyyYR6Q21VydFLVH3TRQUabQu_ym0Zz7PgGX0-kHA/edit?usp=sharing"",""แผน!EP69"")"),570)</f>
        <v>570</v>
      </c>
      <c r="J362" s="270">
        <f ca="1">IFERROR(__xludf.DUMMYFUNCTION("IMPORTRANGE(""https://docs.google.com/spreadsheets/d/1XWAQStnk-4SwqDmLtmXYiTMKHgktTP8We1SCoS47DrQ/edit?usp=sharing"",""จัดที่ดิน!AA69"")"),187)</f>
        <v>187</v>
      </c>
      <c r="K362" s="497">
        <f t="shared" ca="1" si="161"/>
        <v>32.807017543859651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IFERROR(__xludf.DUMMYFUNCTION("IMPORTRANGE(""https://docs.google.com/spreadsheets/d/1XWAQStnk-4SwqDmLtmXYiTMKHgktTP8We1SCoS47DrQ/edit?usp=sharing"",""จัดที่ดิน!AB69"")"),3329.06)</f>
        <v>3329.06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770</v>
      </c>
      <c r="J364" s="478">
        <f t="shared" ca="1" si="162"/>
        <v>694</v>
      </c>
      <c r="K364" s="479">
        <f t="shared" ca="1" si="161"/>
        <v>90.129870129870127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IFERROR(__xludf.DUMMYFUNCTION("IMPORTRANGE(""https://docs.google.com/spreadsheets/d/1QqKyyYR6Q21VydFLVH3TRQUabQu_ym0Zz7PgGX0-kHA/edit?usp=sharing"",""แผน!EJ69"")"),200)</f>
        <v>200</v>
      </c>
      <c r="J365" s="490">
        <f ca="1">J372</f>
        <v>137</v>
      </c>
      <c r="K365" s="491">
        <f t="shared" ca="1" si="161"/>
        <v>68.5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IFERROR(__xludf.DUMMYFUNCTION("IMPORTRANGE(""https://docs.google.com/spreadsheets/d/1XWAQStnk-4SwqDmLtmXYiTMKHgktTP8We1SCoS47DrQ/edit?usp=sharing"",""จัดที่ดิน!E69"")"),67)</f>
        <v>67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IFERROR(__xludf.DUMMYFUNCTION("IMPORTRANGE(""https://docs.google.com/spreadsheets/d/1QqKyyYR6Q21VydFLVH3TRQUabQu_ym0Zz7PgGX0-kHA/edit?usp=sharing"",""แผน!EI69"")"),3000)</f>
        <v>3000</v>
      </c>
      <c r="J369" s="270">
        <f ca="1">IFERROR(__xludf.DUMMYFUNCTION("IMPORTRANGE(""https://docs.google.com/spreadsheets/d/1XWAQStnk-4SwqDmLtmXYiTMKHgktTP8We1SCoS47DrQ/edit?usp=sharing"",""จัดที่ดิน!F69"")"),2158.89)</f>
        <v>2158.89</v>
      </c>
      <c r="K369" s="497">
        <f t="shared" ca="1" si="163"/>
        <v>71.962999999999994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IFERROR(__xludf.DUMMYFUNCTION("IMPORTRANGE(""https://docs.google.com/spreadsheets/d/1QqKyyYR6Q21VydFLVH3TRQUabQu_ym0Zz7PgGX0-kHA/edit?usp=sharing"",""แผน!EJ69"")"),200)</f>
        <v>200</v>
      </c>
      <c r="J370" s="270">
        <f ca="1">IFERROR(__xludf.DUMMYFUNCTION("IMPORTRANGE(""https://docs.google.com/spreadsheets/d/1XWAQStnk-4SwqDmLtmXYiTMKHgktTP8We1SCoS47DrQ/edit?usp=sharing"",""จัดที่ดิน!G69"")"),150)</f>
        <v>150</v>
      </c>
      <c r="K370" s="497">
        <f t="shared" ca="1" si="163"/>
        <v>75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IFERROR(__xludf.DUMMYFUNCTION("IMPORTRANGE(""https://docs.google.com/spreadsheets/d/1XWAQStnk-4SwqDmLtmXYiTMKHgktTP8We1SCoS47DrQ/edit?usp=sharing"",""จัดที่ดิน!H69"")"),3291.23)</f>
        <v>3291.23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IFERROR(__xludf.DUMMYFUNCTION("IMPORTRANGE(""https://docs.google.com/spreadsheets/d/1QqKyyYR6Q21VydFLVH3TRQUabQu_ym0Zz7PgGX0-kHA/edit?usp=sharing"",""แผน!EJ69"")"),200)</f>
        <v>200</v>
      </c>
      <c r="J372" s="270">
        <f ca="1">IFERROR(__xludf.DUMMYFUNCTION("IMPORTRANGE(""https://docs.google.com/spreadsheets/d/1XWAQStnk-4SwqDmLtmXYiTMKHgktTP8We1SCoS47DrQ/edit?usp=sharing"",""จัดที่ดิน!I69"")"),137)</f>
        <v>137</v>
      </c>
      <c r="K372" s="497">
        <f t="shared" ca="1" si="163"/>
        <v>68.5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IFERROR(__xludf.DUMMYFUNCTION("IMPORTRANGE(""https://docs.google.com/spreadsheets/d/1XWAQStnk-4SwqDmLtmXYiTMKHgktTP8We1SCoS47DrQ/edit?usp=sharing"",""จัดที่ดิน!J69"")"),2790.4)</f>
        <v>2790.4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IFERROR(__xludf.DUMMYFUNCTION("IMPORTRANGE(""https://docs.google.com/spreadsheets/d/1QqKyyYR6Q21VydFLVH3TRQUabQu_ym0Zz7PgGX0-kHA/edit?usp=sharing"",""แผน!EU69"")"),570)</f>
        <v>570</v>
      </c>
      <c r="J374" s="490">
        <f ca="1">J381</f>
        <v>557</v>
      </c>
      <c r="K374" s="491">
        <f t="shared" ca="1" si="163"/>
        <v>97.719298245614041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IFERROR(__xludf.DUMMYFUNCTION("IMPORTRANGE(""https://docs.google.com/spreadsheets/d/1XWAQStnk-4SwqDmLtmXYiTMKHgktTP8We1SCoS47DrQ/edit?usp=sharing"",""จัดที่ดิน!AH69"")"),290)</f>
        <v>290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IFERROR(__xludf.DUMMYFUNCTION("IMPORTRANGE(""https://docs.google.com/spreadsheets/d/1QqKyyYR6Q21VydFLVH3TRQUabQu_ym0Zz7PgGX0-kHA/edit?usp=sharing"",""แผน!ET69"")"),5500)</f>
        <v>5500</v>
      </c>
      <c r="J378" s="270">
        <f ca="1">IFERROR(__xludf.DUMMYFUNCTION("IMPORTRANGE(""https://docs.google.com/spreadsheets/d/1XWAQStnk-4SwqDmLtmXYiTMKHgktTP8We1SCoS47DrQ/edit?usp=sharing"",""จัดที่ดิน!AI69"")"),3250.99)</f>
        <v>3250.99</v>
      </c>
      <c r="K378" s="497">
        <f t="shared" ca="1" si="164"/>
        <v>59.108909090909094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IFERROR(__xludf.DUMMYFUNCTION("IMPORTRANGE(""https://docs.google.com/spreadsheets/d/1QqKyyYR6Q21VydFLVH3TRQUabQu_ym0Zz7PgGX0-kHA/edit?usp=sharing"",""แผน!EU69"")"),570)</f>
        <v>570</v>
      </c>
      <c r="J379" s="270">
        <f ca="1">IFERROR(__xludf.DUMMYFUNCTION("IMPORTRANGE(""https://docs.google.com/spreadsheets/d/1XWAQStnk-4SwqDmLtmXYiTMKHgktTP8We1SCoS47DrQ/edit?usp=sharing"",""จัดที่ดิน!AJ69"")"),801)</f>
        <v>801</v>
      </c>
      <c r="K379" s="497">
        <f t="shared" ca="1" si="164"/>
        <v>140.52631578947367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IFERROR(__xludf.DUMMYFUNCTION("IMPORTRANGE(""https://docs.google.com/spreadsheets/d/1XWAQStnk-4SwqDmLtmXYiTMKHgktTP8We1SCoS47DrQ/edit?usp=sharing"",""จัดที่ดิน!AK69"")"),12344.96)</f>
        <v>12344.96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IFERROR(__xludf.DUMMYFUNCTION("IMPORTRANGE(""https://docs.google.com/spreadsheets/d/1QqKyyYR6Q21VydFLVH3TRQUabQu_ym0Zz7PgGX0-kHA/edit?usp=sharing"",""แผน!EU69"")"),570)</f>
        <v>570</v>
      </c>
      <c r="J381" s="270">
        <f ca="1">IFERROR(__xludf.DUMMYFUNCTION("IMPORTRANGE(""https://docs.google.com/spreadsheets/d/1XWAQStnk-4SwqDmLtmXYiTMKHgktTP8We1SCoS47DrQ/edit?usp=sharing"",""จัดที่ดิน!AL69"")"),557)</f>
        <v>557</v>
      </c>
      <c r="K381" s="497">
        <f t="shared" ca="1" si="164"/>
        <v>97.719298245614041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IFERROR(__xludf.DUMMYFUNCTION("IMPORTRANGE(""https://docs.google.com/spreadsheets/d/1XWAQStnk-4SwqDmLtmXYiTMKHgktTP8We1SCoS47DrQ/edit?usp=sharing"",""จัดที่ดิน!AM69"")"),9573.03999999999)</f>
        <v>9573.03999999999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357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IFERROR(__xludf.DUMMYFUNCTION("IMPORTRANGE(""https://docs.google.com/spreadsheets/d/1QqKyyYR6Q21VydFLVH3TRQUabQu_ym0Zz7PgGX0-kHA/edit?usp=sharing"",""แผน!EW69"")"),20)</f>
        <v>20</v>
      </c>
      <c r="J385" s="501">
        <f ca="1">IFERROR(__xludf.DUMMYFUNCTION("IMPORTRANGE(""https://docs.google.com/spreadsheets/d/1XWAQStnk-4SwqDmLtmXYiTMKHgktTP8We1SCoS47DrQ/edit?usp=sharing"",""จัดที่ดิน!AP69"")"),4)</f>
        <v>4</v>
      </c>
      <c r="K385" s="502">
        <f ca="1">IF(I385&gt;0,J385*100/I385,0)</f>
        <v>20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IFERROR(__xludf.DUMMYFUNCTION("IMPORTRANGE(""https://docs.google.com/spreadsheets/d/1MeEWN-I1oV_STSDYn1IFDPWt_1FKiwhDph83XaGc0o0/edit?usp=sharing"",""งบพรบ!FG69"")"),0)</f>
        <v>0</v>
      </c>
      <c r="M394" s="93">
        <f ca="1">IFERROR(__xludf.DUMMYFUNCTION("IMPORTRANGE(""https://docs.google.com/spreadsheets/d/1MeEWN-I1oV_STSDYn1IFDPWt_1FKiwhDph83XaGc0o0/edit?usp=sharing"",""งบพรบ!FL69"")"),0)</f>
        <v>0</v>
      </c>
      <c r="N394" s="93">
        <f ca="1">IFERROR(__xludf.DUMMYFUNCTION("IMPORTRANGE(""https://docs.google.com/spreadsheets/d/1MeEWN-I1oV_STSDYn1IFDPWt_1FKiwhDph83XaGc0o0/edit?usp=sharing"",""งบพรบ!FN69"")"),0)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IFERROR(__xludf.DUMMYFUNCTION("IMPORTRANGE(""https://docs.google.com/spreadsheets/d/1MeEWN-I1oV_STSDYn1IFDPWt_1FKiwhDph83XaGc0o0/edit?usp=sharing"",""งบพรบ!FJ69"")"),0)</f>
        <v>0</v>
      </c>
      <c r="M397" s="93">
        <f ca="1">IFERROR(__xludf.DUMMYFUNCTION("IMPORTRANGE(""https://docs.google.com/spreadsheets/d/1MeEWN-I1oV_STSDYn1IFDPWt_1FKiwhDph83XaGc0o0/edit?usp=sharing"",""งบพรบ!FM69"")"),0)</f>
        <v>0</v>
      </c>
      <c r="N397" s="93">
        <f ca="1">IFERROR(__xludf.DUMMYFUNCTION("IMPORTRANGE(""https://docs.google.com/spreadsheets/d/1MeEWN-I1oV_STSDYn1IFDPWt_1FKiwhDph83XaGc0o0/edit?usp=sharing"",""งบพรบ!FO69"")"),0)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IFERROR(__xludf.DUMMYFUNCTION("IMPORTRANGE(""https://docs.google.com/spreadsheets/d/1MeEWN-I1oV_STSDYn1IFDPWt_1FKiwhDph83XaGc0o0/edit?usp=sharing"",""งบพรบ!FQ69"")"),0)</f>
        <v>0</v>
      </c>
      <c r="M407" s="93">
        <f ca="1">IFERROR(__xludf.DUMMYFUNCTION("IMPORTRANGE(""https://docs.google.com/spreadsheets/d/1MeEWN-I1oV_STSDYn1IFDPWt_1FKiwhDph83XaGc0o0/edit?usp=sharing"",""งบพรบ!FV69"")"),0)</f>
        <v>0</v>
      </c>
      <c r="N407" s="93">
        <f ca="1">IFERROR(__xludf.DUMMYFUNCTION("IMPORTRANGE(""https://docs.google.com/spreadsheets/d/1MeEWN-I1oV_STSDYn1IFDPWt_1FKiwhDph83XaGc0o0/edit?usp=sharing"",""งบพรบ!FX69"")"),0)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IFERROR(__xludf.DUMMYFUNCTION("IMPORTRANGE(""https://docs.google.com/spreadsheets/d/1MeEWN-I1oV_STSDYn1IFDPWt_1FKiwhDph83XaGc0o0/edit?usp=sharing"",""งบพรบ!FT69"")"),0)</f>
        <v>0</v>
      </c>
      <c r="M410" s="93">
        <f ca="1">IFERROR(__xludf.DUMMYFUNCTION("IMPORTRANGE(""https://docs.google.com/spreadsheets/d/1MeEWN-I1oV_STSDYn1IFDPWt_1FKiwhDph83XaGc0o0/edit?usp=sharing"",""งบพรบ!FW69"")"),0)</f>
        <v>0</v>
      </c>
      <c r="N410" s="93">
        <f ca="1">IFERROR(__xludf.DUMMYFUNCTION("IMPORTRANGE(""https://docs.google.com/spreadsheets/d/1MeEWN-I1oV_STSDYn1IFDPWt_1FKiwhDph83XaGc0o0/edit?usp=sharing"",""งบพรบ!FY69"")"),0)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2240997</v>
      </c>
      <c r="M414" s="549">
        <f t="shared" ca="1" si="181"/>
        <v>2240997</v>
      </c>
      <c r="N414" s="549">
        <f t="shared" si="181"/>
        <v>1639542.29</v>
      </c>
      <c r="O414" s="549">
        <f ca="1">IF(L414&gt;0,N414*100/L414,0)</f>
        <v>73.161288926312707</v>
      </c>
      <c r="P414" s="549">
        <f ca="1">IF(M414&gt;0,N414*100/M414,0)</f>
        <v>73.161288926312707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76080</v>
      </c>
      <c r="O419" s="155">
        <f t="shared" ref="O419:O424" ca="1" si="185">IF(L419&gt;0,N419*100/L419,0)</f>
        <v>96.720061022120518</v>
      </c>
      <c r="P419" s="155">
        <f t="shared" ref="P419:P424" ca="1" si="186">IF(M419&gt;0,N419*100/M419,0)</f>
        <v>96.720061022120518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76080</v>
      </c>
      <c r="O421" s="93">
        <f t="shared" ca="1" si="185"/>
        <v>96.720061022120518</v>
      </c>
      <c r="P421" s="93">
        <f t="shared" ca="1" si="186"/>
        <v>96.720061022120518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76080</v>
      </c>
      <c r="O422" s="497">
        <f t="shared" ca="1" si="185"/>
        <v>96.720061022120518</v>
      </c>
      <c r="P422" s="497">
        <f t="shared" ca="1" si="186"/>
        <v>96.720061022120518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IFERROR(__xludf.DUMMYFUNCTION("IMPORTRANGE(""https://docs.google.com/spreadsheets/d/1QqKyyYR6Q21VydFLVH3TRQUabQu_ym0Zz7PgGX0-kHA/edit?usp=sharing"",""แผน!EY69"")"),78660)</f>
        <v>78660</v>
      </c>
      <c r="M424" s="93">
        <f ca="1">L424</f>
        <v>78660</v>
      </c>
      <c r="N424" s="93">
        <f>N425+N426+N427+N428</f>
        <v>76080</v>
      </c>
      <c r="O424" s="93">
        <f t="shared" ca="1" si="185"/>
        <v>96.720061022120518</v>
      </c>
      <c r="P424" s="93">
        <f t="shared" ca="1" si="186"/>
        <v>96.720061022120518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27680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IFERROR(__xludf.DUMMYFUNCTION("IMPORTRANGE(""https://docs.google.com/spreadsheets/d/1QqKyyYR6Q21VydFLVH3TRQUabQu_ym0Zz7PgGX0-kHA/edit?usp=sharing"",""แผน!FC69"")"),20)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IFERROR(__xludf.DUMMYFUNCTION("IMPORTRANGE(""https://docs.google.com/spreadsheets/d/1QqKyyYR6Q21VydFLVH3TRQUabQu_ym0Zz7PgGX0-kHA/edit?usp=sharing"",""แผน!FD69"")"),0)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IFERROR(__xludf.DUMMYFUNCTION("IMPORTRANGE(""https://docs.google.com/spreadsheets/d/1QqKyyYR6Q21VydFLVH3TRQUabQu_ym0Zz7PgGX0-kHA/edit?usp=sharing"",""แผน!FJ69"")"),0)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IFERROR(__xludf.DUMMYFUNCTION("IMPORTRANGE(""https://docs.google.com/spreadsheets/d/1QqKyyYR6Q21VydFLVH3TRQUabQu_ym0Zz7PgGX0-kHA/edit?usp=sharing"",""แผน!FN69"")"),0)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IFERROR(__xludf.DUMMYFUNCTION("IMPORTRANGE(""https://docs.google.com/spreadsheets/d/1QqKyyYR6Q21VydFLVH3TRQUabQu_ym0Zz7PgGX0-kHA/edit?usp=sharing"",""แผน!FO69"")"),0)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IFERROR(__xludf.DUMMYFUNCTION("IMPORTRANGE(""https://docs.google.com/spreadsheets/d/1QqKyyYR6Q21VydFLVH3TRQUabQu_ym0Zz7PgGX0-kHA/edit?usp=sharing"",""แผน!FO69"")"),0)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IFERROR(__xludf.DUMMYFUNCTION("IMPORTRANGE(""https://docs.google.com/spreadsheets/d/1QqKyyYR6Q21VydFLVH3TRQUabQu_ym0Zz7PgGX0-kHA/edit?usp=sharing"",""แผน!FN69"")"),0)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IFERROR(__xludf.DUMMYFUNCTION("IMPORTRANGE(""https://docs.google.com/spreadsheets/d/1QqKyyYR6Q21VydFLVH3TRQUabQu_ym0Zz7PgGX0-kHA/edit?usp=sharing"",""แผน!FX69"")"),51)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IFERROR(__xludf.DUMMYFUNCTION("IMPORTRANGE(""https://docs.google.com/spreadsheets/d/1QqKyyYR6Q21VydFLVH3TRQUabQu_ym0Zz7PgGX0-kHA/edit?usp=sharing"",""แผน!FW69"")"),500)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409553</v>
      </c>
      <c r="M467" s="195">
        <f t="shared" ca="1" si="206"/>
        <v>409553</v>
      </c>
      <c r="N467" s="195">
        <f t="shared" si="206"/>
        <v>406653</v>
      </c>
      <c r="O467" s="195">
        <f t="shared" ref="O467:O472" ca="1" si="207">IF(L467&gt;0,N467*100/L467,0)</f>
        <v>99.291910937045998</v>
      </c>
      <c r="P467" s="195">
        <f t="shared" ref="P467:P472" ca="1" si="208">IF(M467&gt;0,N467*100/M467,0)</f>
        <v>99.291910937045998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409553</v>
      </c>
      <c r="M469" s="93">
        <f t="shared" ca="1" si="209"/>
        <v>409553</v>
      </c>
      <c r="N469" s="93">
        <f t="shared" si="209"/>
        <v>406653</v>
      </c>
      <c r="O469" s="93">
        <f t="shared" ca="1" si="207"/>
        <v>99.291910937045998</v>
      </c>
      <c r="P469" s="93">
        <f t="shared" ca="1" si="208"/>
        <v>99.291910937045998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409553</v>
      </c>
      <c r="M470" s="497">
        <f t="shared" ca="1" si="210"/>
        <v>409553</v>
      </c>
      <c r="N470" s="497">
        <f t="shared" si="210"/>
        <v>406653</v>
      </c>
      <c r="O470" s="497">
        <f t="shared" ca="1" si="207"/>
        <v>99.291910937045998</v>
      </c>
      <c r="P470" s="497">
        <f t="shared" ca="1" si="208"/>
        <v>99.291910937045998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IFERROR(__xludf.DUMMYFUNCTION("IMPORTRANGE(""https://docs.google.com/spreadsheets/d/1QqKyyYR6Q21VydFLVH3TRQUabQu_ym0Zz7PgGX0-kHA/edit?usp=sharing"",""แผน!FS69"")"),409553)</f>
        <v>409553</v>
      </c>
      <c r="M472" s="93">
        <f ca="1">L472</f>
        <v>409553</v>
      </c>
      <c r="N472" s="93">
        <f>N473+N474+N475+N476</f>
        <v>406653</v>
      </c>
      <c r="O472" s="93">
        <f t="shared" ca="1" si="207"/>
        <v>99.291910937045998</v>
      </c>
      <c r="P472" s="93">
        <f t="shared" ca="1" si="208"/>
        <v>99.291910937045998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66023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26630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IFERROR(__xludf.DUMMYFUNCTION("IMPORTRANGE(""https://docs.google.com/spreadsheets/d/1QqKyyYR6Q21VydFLVH3TRQUabQu_ym0Zz7PgGX0-kHA/edit?usp=sharing"",""แผน!FY69"")"),450)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/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IFERROR(__xludf.DUMMYFUNCTION("IMPORTRANGE(""https://docs.google.com/spreadsheets/d/1QqKyyYR6Q21VydFLVH3TRQUabQu_ym0Zz7PgGX0-kHA/edit?usp=sharing"",""แผน!GA69"")"),50)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410980</v>
      </c>
      <c r="O523" s="195">
        <f t="shared" ref="O523:O528" ca="1" si="227">IF(L523&gt;0,N523*100/L523,0)</f>
        <v>96.144668506994805</v>
      </c>
      <c r="P523" s="195">
        <f t="shared" ref="P523:P528" ca="1" si="228">IF(M523&gt;0,N523*100/M523,0)</f>
        <v>96.144668506994805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410980</v>
      </c>
      <c r="O525" s="93">
        <f t="shared" ca="1" si="227"/>
        <v>96.144668506994805</v>
      </c>
      <c r="P525" s="93">
        <f t="shared" ca="1" si="228"/>
        <v>96.144668506994805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410980</v>
      </c>
      <c r="O526" s="497">
        <f t="shared" ca="1" si="227"/>
        <v>96.144668506994805</v>
      </c>
      <c r="P526" s="497">
        <f t="shared" ca="1" si="228"/>
        <v>96.144668506994805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IFERROR(__xludf.DUMMYFUNCTION("IMPORTRANGE(""https://docs.google.com/spreadsheets/d/1QqKyyYR6Q21VydFLVH3TRQUabQu_ym0Zz7PgGX0-kHA/edit?usp=sharing"",""แผน!GQ69"")"),427460)</f>
        <v>427460</v>
      </c>
      <c r="M528" s="93">
        <f ca="1">L528</f>
        <v>427460</v>
      </c>
      <c r="N528" s="93">
        <f>N529+N530+N531+N532</f>
        <v>410980</v>
      </c>
      <c r="O528" s="93">
        <f t="shared" ca="1" si="227"/>
        <v>96.144668506994805</v>
      </c>
      <c r="P528" s="93">
        <f t="shared" ca="1" si="228"/>
        <v>96.144668506994805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139970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21010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IFERROR(__xludf.DUMMYFUNCTION("IMPORTRANGE(""https://docs.google.com/spreadsheets/d/1QqKyyYR6Q21VydFLVH3TRQUabQu_ym0Zz7PgGX0-kHA/edit?usp=sharing"",""แผน!GU69"")"),50)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IFERROR(__xludf.DUMMYFUNCTION("IMPORTRANGE(""https://docs.google.com/spreadsheets/d/1QqKyyYR6Q21VydFLVH3TRQUabQu_ym0Zz7PgGX0-kHA/edit?usp=sharing"",""แผน!GV69"")"),50)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IFERROR(__xludf.DUMMYFUNCTION("IMPORTRANGE(""https://docs.google.com/spreadsheets/d/1QqKyyYR6Q21VydFLVH3TRQUabQu_ym0Zz7PgGX0-kHA/edit?usp=sharing"",""แผน!GY69"")"),50)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IFERROR(__xludf.DUMMYFUNCTION("IMPORTRANGE(""https://docs.google.com/spreadsheets/d/1QqKyyYR6Q21VydFLVH3TRQUabQu_ym0Zz7PgGX0-kHA/edit?usp=sharing"",""แผน!GZ69"")"),50)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132197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612784</v>
      </c>
      <c r="M544" s="155">
        <f t="shared" ca="1" si="236"/>
        <v>612784</v>
      </c>
      <c r="N544" s="155">
        <f t="shared" si="236"/>
        <v>442460.71</v>
      </c>
      <c r="O544" s="155">
        <f t="shared" ref="O544:O549" ca="1" si="237">IF(L544&gt;0,N544*100/L544,0)</f>
        <v>72.205003720723781</v>
      </c>
      <c r="P544" s="155">
        <f t="shared" ref="P544:P549" ca="1" si="238">IF(M544&gt;0,N544*100/M544,0)</f>
        <v>72.205003720723781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612784</v>
      </c>
      <c r="M546" s="93">
        <f t="shared" ca="1" si="240"/>
        <v>612784</v>
      </c>
      <c r="N546" s="93">
        <f t="shared" si="240"/>
        <v>442460.71</v>
      </c>
      <c r="O546" s="93">
        <f t="shared" ca="1" si="237"/>
        <v>72.205003720723781</v>
      </c>
      <c r="P546" s="93">
        <f t="shared" ca="1" si="238"/>
        <v>72.205003720723781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612784</v>
      </c>
      <c r="M547" s="497">
        <f t="shared" ca="1" si="241"/>
        <v>612784</v>
      </c>
      <c r="N547" s="497">
        <f t="shared" si="241"/>
        <v>442460.71</v>
      </c>
      <c r="O547" s="497">
        <f t="shared" ca="1" si="237"/>
        <v>72.205003720723781</v>
      </c>
      <c r="P547" s="497">
        <f t="shared" ca="1" si="238"/>
        <v>72.205003720723781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IFERROR(__xludf.DUMMYFUNCTION("IMPORTRANGE(""https://docs.google.com/spreadsheets/d/1QqKyyYR6Q21VydFLVH3TRQUabQu_ym0Zz7PgGX0-kHA/edit?usp=sharing"",""แผน!HB69"")"),612784)</f>
        <v>612784</v>
      </c>
      <c r="M549" s="93">
        <f ca="1">L549</f>
        <v>612784</v>
      </c>
      <c r="N549" s="93">
        <f>N550+N551+N552+N553+N554</f>
        <v>442460.71</v>
      </c>
      <c r="O549" s="93">
        <f t="shared" ca="1" si="237"/>
        <v>72.205003720723781</v>
      </c>
      <c r="P549" s="93">
        <f t="shared" ca="1" si="238"/>
        <v>72.205003720723781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89700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352760.71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132197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IFERROR(__xludf.DUMMYFUNCTION("IMPORTRANGE(""https://docs.google.com/spreadsheets/d/1QqKyyYR6Q21VydFLVH3TRQUabQu_ym0Zz7PgGX0-kHA/edit?usp=sharing"",""แผน!HH69"")"),132197)</f>
        <v>132197</v>
      </c>
      <c r="J560" s="193">
        <f t="shared" ref="J560:J561" si="247">J562+J564+J566</f>
        <v>132197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IFERROR(__xludf.DUMMYFUNCTION("IMPORTRANGE(""https://docs.google.com/spreadsheets/d/1QqKyyYR6Q21VydFLVH3TRQUabQu_ym0Zz7PgGX0-kHA/edit?usp=sharing"",""แผน!HG69"")"),11643)</f>
        <v>11643</v>
      </c>
      <c r="J561" s="193">
        <f t="shared" si="247"/>
        <v>11643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108485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10096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19271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1194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353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IFERROR(__xludf.DUMMYFUNCTION("IMPORTRANGE(""https://docs.google.com/spreadsheets/d/1QqKyyYR6Q21VydFLVH3TRQUabQu_ym0Zz7PgGX0-kHA/edit?usp=sharing"",""แผน!HH69"")"),132197)</f>
        <v>132197</v>
      </c>
      <c r="J568" s="676">
        <f t="shared" ref="J568:J569" si="248">J570+J572+J574</f>
        <v>132197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IFERROR(__xludf.DUMMYFUNCTION("IMPORTRANGE(""https://docs.google.com/spreadsheets/d/1QqKyyYR6Q21VydFLVH3TRQUabQu_ym0Zz7PgGX0-kHA/edit?usp=sharing"",""แผน!HG69"")"),11643)</f>
        <v>11643</v>
      </c>
      <c r="J569" s="676">
        <f t="shared" si="248"/>
        <v>11643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121239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10647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5462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591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5496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405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IFERROR(__xludf.DUMMYFUNCTION("IMPORTRANGE(""https://docs.google.com/spreadsheets/d/1QqKyyYR6Q21VydFLVH3TRQUabQu_ym0Zz7PgGX0-kHA/edit?usp=sharing"",""แผน!HH69"")"),132197)</f>
        <v>132197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IFERROR(__xludf.DUMMYFUNCTION("IMPORTRANGE(""https://docs.google.com/spreadsheets/d/1QqKyyYR6Q21VydFLVH3TRQUabQu_ym0Zz7PgGX0-kHA/edit?usp=sharing"",""แผน!HG69"")"),11643)</f>
        <v>11643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6889.23</v>
      </c>
      <c r="J592" s="703">
        <f t="shared" si="253"/>
        <v>6697</v>
      </c>
      <c r="K592" s="672">
        <f t="shared" ref="K592:K594" ca="1" si="254">IF(I592&gt;0,J592*100/I592,0)</f>
        <v>97.209702680851137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IFERROR(__xludf.DUMMYFUNCTION("IMPORTRANGE(""https://docs.google.com/spreadsheets/d/1QqKyyYR6Q21VydFLVH3TRQUabQu_ym0Zz7PgGX0-kHA/edit?usp=sharing"",""แผน!HJ69"")"),6889.23)</f>
        <v>6889.23</v>
      </c>
      <c r="J593" s="193">
        <f t="shared" ref="J593:J594" si="255">J595+J603+J609</f>
        <v>6697</v>
      </c>
      <c r="K593" s="411">
        <f t="shared" ca="1" si="254"/>
        <v>97.209702680851137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IFERROR(__xludf.DUMMYFUNCTION("IMPORTRANGE(""https://docs.google.com/spreadsheets/d/1QqKyyYR6Q21VydFLVH3TRQUabQu_ym0Zz7PgGX0-kHA/edit?usp=sharing"",""แผน!HI69"")"),387)</f>
        <v>387</v>
      </c>
      <c r="J594" s="193">
        <f t="shared" si="255"/>
        <v>374</v>
      </c>
      <c r="K594" s="411">
        <f t="shared" ca="1" si="254"/>
        <v>96.640826873385009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6697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374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1344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127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5353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247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IFERROR(__xludf.DUMMYFUNCTION("IMPORTRANGE(""https://docs.google.com/spreadsheets/d/1QqKyyYR6Q21VydFLVH3TRQUabQu_ym0Zz7PgGX0-kHA/edit?usp=sharing"",""แผน!HL69"")"),267)</f>
        <v>267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IFERROR(__xludf.DUMMYFUNCTION("IMPORTRANGE(""https://docs.google.com/spreadsheets/d/1QqKyyYR6Q21VydFLVH3TRQUabQu_ym0Zz7PgGX0-kHA/edit?usp=sharing"",""แผน!HK69"")"),22)</f>
        <v>22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364940</v>
      </c>
      <c r="M629" s="195">
        <f t="shared" ca="1" si="263"/>
        <v>364940</v>
      </c>
      <c r="N629" s="195">
        <f t="shared" si="263"/>
        <v>162435.25</v>
      </c>
      <c r="O629" s="195">
        <f t="shared" ref="O629:O634" ca="1" si="264">IF(L629&gt;0,N629*100/L629,0)</f>
        <v>44.510124952046915</v>
      </c>
      <c r="P629" s="195">
        <f t="shared" ref="P629:P634" ca="1" si="265">IF(M629&gt;0,N629*100/M629,0)</f>
        <v>44.510124952046915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364940</v>
      </c>
      <c r="M631" s="93">
        <f t="shared" ca="1" si="266"/>
        <v>364940</v>
      </c>
      <c r="N631" s="93">
        <f t="shared" si="266"/>
        <v>162435.25</v>
      </c>
      <c r="O631" s="93">
        <f t="shared" ca="1" si="264"/>
        <v>44.510124952046915</v>
      </c>
      <c r="P631" s="93">
        <f t="shared" ca="1" si="265"/>
        <v>44.510124952046915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364940</v>
      </c>
      <c r="M632" s="497">
        <f t="shared" ca="1" si="267"/>
        <v>364940</v>
      </c>
      <c r="N632" s="497">
        <f t="shared" si="267"/>
        <v>162435.25</v>
      </c>
      <c r="O632" s="497">
        <f t="shared" ca="1" si="264"/>
        <v>44.510124952046915</v>
      </c>
      <c r="P632" s="497">
        <f t="shared" ca="1" si="265"/>
        <v>44.510124952046915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IFERROR(__xludf.DUMMYFUNCTION("IMPORTRANGE(""https://docs.google.com/spreadsheets/d/1QqKyyYR6Q21VydFLVH3TRQUabQu_ym0Zz7PgGX0-kHA/edit?usp=sharing"",""แผน!HN69"")"),364940)</f>
        <v>364940</v>
      </c>
      <c r="M634" s="93">
        <f ca="1">L634</f>
        <v>364940</v>
      </c>
      <c r="N634" s="93">
        <f>N635+N636+N637+N638</f>
        <v>162435.25</v>
      </c>
      <c r="O634" s="93">
        <f t="shared" ca="1" si="264"/>
        <v>44.510124952046915</v>
      </c>
      <c r="P634" s="93">
        <f t="shared" ca="1" si="265"/>
        <v>44.510124952046915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100589.25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61846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IFERROR(__xludf.DUMMYFUNCTION("IMPORTRANGE(""https://docs.google.com/spreadsheets/d/1XWAQStnk-4SwqDmLtmXYiTMKHgktTP8We1SCoS47DrQ/edit?usp=sharing"",""จัดที่ดิน!AS69"")"),73)</f>
        <v>73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IFERROR(__xludf.DUMMYFUNCTION("IMPORTRANGE(""https://docs.google.com/spreadsheets/d/1XWAQStnk-4SwqDmLtmXYiTMKHgktTP8We1SCoS47DrQ/edit?usp=sharing"",""จัดที่ดิน!AT69"")"),84.1)</f>
        <v>84.1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IFERROR(__xludf.DUMMYFUNCTION("IMPORTRANGE(""https://docs.google.com/spreadsheets/d/1QqKyyYR6Q21VydFLVH3TRQUabQu_ym0Zz7PgGX0-kHA/edit?usp=sharing"",""แผน!HS69"")"),100)</f>
        <v>100</v>
      </c>
      <c r="J647" s="270">
        <f ca="1">IFERROR(__xludf.DUMMYFUNCTION("IMPORTRANGE(""https://docs.google.com/spreadsheets/d/1XWAQStnk-4SwqDmLtmXYiTMKHgktTP8We1SCoS47DrQ/edit?usp=sharing"",""จัดที่ดิน!AU69"")"),71)</f>
        <v>71</v>
      </c>
      <c r="K647" s="163">
        <f t="shared" ca="1" si="271"/>
        <v>71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IFERROR(__xludf.DUMMYFUNCTION("IMPORTRANGE(""https://docs.google.com/spreadsheets/d/1XWAQStnk-4SwqDmLtmXYiTMKHgktTP8We1SCoS47DrQ/edit?usp=sharing"",""จัดที่ดิน!AV69"")"),84.1)</f>
        <v>84.1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IFERROR(__xludf.DUMMYFUNCTION("IMPORTRANGE(""https://docs.google.com/spreadsheets/d/1QqKyyYR6Q21VydFLVH3TRQUabQu_ym0Zz7PgGX0-kHA/edit?usp=sharing"",""แผน!HS69"")"),100)</f>
        <v>100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IFERROR(__xludf.DUMMYFUNCTION("IMPORTRANGE(""https://docs.google.com/spreadsheets/d/1QqKyyYR6Q21VydFLVH3TRQUabQu_ym0Zz7PgGX0-kHA/edit?usp=sharing"",""แผน!HS69"")"),100)</f>
        <v>100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3000</v>
      </c>
      <c r="O655" s="195">
        <f t="shared" ref="O655:O660" ca="1" si="274">IF(L655&gt;0,N655*100/L655,0)</f>
        <v>24.193548387096776</v>
      </c>
      <c r="P655" s="195">
        <f t="shared" ref="P655:P660" ca="1" si="275">IF(M655&gt;0,N655*100/M655,0)</f>
        <v>24.193548387096776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3000</v>
      </c>
      <c r="O657" s="93">
        <f t="shared" ca="1" si="274"/>
        <v>24.193548387096776</v>
      </c>
      <c r="P657" s="93">
        <f t="shared" ca="1" si="275"/>
        <v>24.193548387096776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3000</v>
      </c>
      <c r="O658" s="497">
        <f t="shared" ca="1" si="274"/>
        <v>24.193548387096776</v>
      </c>
      <c r="P658" s="497">
        <f t="shared" ca="1" si="275"/>
        <v>24.193548387096776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IFERROR(__xludf.DUMMYFUNCTION("IMPORTRANGE(""https://docs.google.com/spreadsheets/d/1QqKyyYR6Q21VydFLVH3TRQUabQu_ym0Zz7PgGX0-kHA/edit?usp=sharing"",""แผน!HV69"")"),12400)</f>
        <v>12400</v>
      </c>
      <c r="M660" s="93">
        <f ca="1">L660</f>
        <v>12400</v>
      </c>
      <c r="N660" s="93">
        <f>N661+N662+N663+N664</f>
        <v>3000</v>
      </c>
      <c r="O660" s="93">
        <f t="shared" ca="1" si="274"/>
        <v>24.193548387096776</v>
      </c>
      <c r="P660" s="93">
        <f t="shared" ca="1" si="275"/>
        <v>24.193548387096776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IFERROR(__xludf.DUMMYFUNCTION("IMPORTRANGE(""https://docs.google.com/spreadsheets/d/1QqKyyYR6Q21VydFLVH3TRQUabQu_ym0Zz7PgGX0-kHA/edit?usp=sharing"",""แผน!IA69"")"),100)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IFERROR(__xludf.DUMMYFUNCTION("IMPORTRANGE(""https://docs.google.com/spreadsheets/d/1QqKyyYR6Q21VydFLVH3TRQUabQu_ym0Zz7PgGX0-kHA/edit?usp=sharing"",""แผน!IC69"")"),0)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IFERROR(__xludf.DUMMYFUNCTION("IMPORTRANGE(""https://docs.google.com/spreadsheets/d/1QqKyyYR6Q21VydFLVH3TRQUabQu_ym0Zz7PgGX0-kHA/edit?usp=sharing"",""แผน!ID69"")"),0)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IFERROR(__xludf.DUMMYFUNCTION("IMPORTRANGE(""https://docs.google.com/spreadsheets/d/1QqKyyYR6Q21VydFLVH3TRQUabQu_ym0Zz7PgGX0-kHA/edit?usp=sharing"",""แผน!IE69"")"),0)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IFERROR(__xludf.DUMMYFUNCTION("IMPORTRANGE(""https://docs.google.com/spreadsheets/d/1QqKyyYR6Q21VydFLVH3TRQUabQu_ym0Zz7PgGX0-kHA/edit?usp=sharing"",""แผน!IF69"")"),0)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IFERROR(__xludf.DUMMYFUNCTION("IMPORTRANGE(""https://docs.google.com/spreadsheets/d/1QqKyyYR6Q21VydFLVH3TRQUabQu_ym0Zz7PgGX0-kHA/edit?usp=sharing"",""แผน!IH69"")"),0)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IFERROR(__xludf.DUMMYFUNCTION("IMPORTRANGE(""https://docs.google.com/spreadsheets/d/1QqKyyYR6Q21VydFLVH3TRQUabQu_ym0Zz7PgGX0-kHA/edit?usp=sharing"",""แผน!II69"")"),0)</f>
        <v>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IFERROR(__xludf.DUMMYFUNCTION("IMPORTRANGE(""https://docs.google.com/spreadsheets/d/1QqKyyYR6Q21VydFLVH3TRQUabQu_ym0Zz7PgGX0-kHA/edit?usp=sharing"",""แผน!IJ69"")"),0)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IFERROR(__xludf.DUMMYFUNCTION("IMPORTRANGE(""https://docs.google.com/spreadsheets/d/1QqKyyYR6Q21VydFLVH3TRQUabQu_ym0Zz7PgGX0-kHA/edit?usp=sharing"",""แผน!IK69"")"),0)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IFERROR(__xludf.DUMMYFUNCTION("IMPORTRANGE(""https://docs.google.com/spreadsheets/d/1QqKyyYR6Q21VydFLVH3TRQUabQu_ym0Zz7PgGX0-kHA/edit?usp=sharing"",""แผน!IL69"")"),0)</f>
        <v>0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IFERROR(__xludf.DUMMYFUNCTION("IMPORTRANGE(""https://docs.google.com/spreadsheets/d/1QqKyyYR6Q21VydFLVH3TRQUabQu_ym0Zz7PgGX0-kHA/edit?usp=sharing"",""แผน!IM69"")"),0)</f>
        <v>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IFERROR(__xludf.DUMMYFUNCTION("IMPORTRANGE(""https://docs.google.com/spreadsheets/d/1QqKyyYR6Q21VydFLVH3TRQUabQu_ym0Zz7PgGX0-kHA/edit?usp=sharing"",""แผน!IN69"")"),0)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IFERROR(__xludf.DUMMYFUNCTION("IMPORTRANGE(""https://docs.google.com/spreadsheets/d/1QqKyyYR6Q21VydFLVH3TRQUabQu_ym0Zz7PgGX0-kHA/edit?usp=sharing"",""แผน!IO69"")"),0)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IFERROR(__xludf.DUMMYFUNCTION("IMPORTRANGE(""https://docs.google.com/spreadsheets/d/1QqKyyYR6Q21VydFLVH3TRQUabQu_ym0Zz7PgGX0-kHA/edit?usp=sharing"",""แผน!IP69"")"),0)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I801+I803</f>
        <v>5000</v>
      </c>
      <c r="J785" s="802">
        <f t="shared" ca="1" si="318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137933.33000000002</v>
      </c>
      <c r="O786" s="195">
        <f t="shared" ref="O786:O791" ca="1" si="320">IF(L786&gt;0,N786*100/L786,0)</f>
        <v>41.149561455847262</v>
      </c>
      <c r="P786" s="195">
        <f t="shared" ref="P786:P791" ca="1" si="321">IF(M786&gt;0,N786*100/M786,0)</f>
        <v>41.149561455847262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808" t="s">
        <v>12</v>
      </c>
      <c r="I787" s="806"/>
      <c r="J787" s="806"/>
      <c r="K787" s="807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808" t="s">
        <v>12</v>
      </c>
      <c r="I788" s="806"/>
      <c r="J788" s="806"/>
      <c r="K788" s="807"/>
      <c r="L788" s="93">
        <f t="shared" ca="1" si="322"/>
        <v>335200</v>
      </c>
      <c r="M788" s="93">
        <f t="shared" ca="1" si="322"/>
        <v>335200</v>
      </c>
      <c r="N788" s="93">
        <f t="shared" si="322"/>
        <v>137933.33000000002</v>
      </c>
      <c r="O788" s="93">
        <f t="shared" ca="1" si="320"/>
        <v>41.149561455847262</v>
      </c>
      <c r="P788" s="93">
        <f t="shared" ca="1" si="321"/>
        <v>41.149561455847262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>
      <c r="A789" s="592"/>
      <c r="B789" s="570"/>
      <c r="C789" s="570"/>
      <c r="D789" s="601" t="s">
        <v>20</v>
      </c>
      <c r="E789" s="758"/>
      <c r="F789" s="758"/>
      <c r="G789" s="189"/>
      <c r="H789" s="809" t="s">
        <v>12</v>
      </c>
      <c r="I789" s="810"/>
      <c r="J789" s="810"/>
      <c r="K789" s="811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137933.33000000002</v>
      </c>
      <c r="O789" s="497">
        <f t="shared" ca="1" si="320"/>
        <v>41.149561455847262</v>
      </c>
      <c r="P789" s="497">
        <f t="shared" ca="1" si="321"/>
        <v>41.149561455847262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808" t="s">
        <v>12</v>
      </c>
      <c r="I791" s="806"/>
      <c r="J791" s="806"/>
      <c r="K791" s="807"/>
      <c r="L791" s="93">
        <f ca="1">IFERROR(__xludf.DUMMYFUNCTION("IMPORTRANGE(""https://docs.google.com/spreadsheets/d/1QqKyyYR6Q21VydFLVH3TRQUabQu_ym0Zz7PgGX0-kHA/edit?usp=sharing"",""แผน!JJ69"")"),335200)</f>
        <v>335200</v>
      </c>
      <c r="M791" s="93">
        <f ca="1">L791</f>
        <v>335200</v>
      </c>
      <c r="N791" s="93">
        <f>N792+N793+N794+N795</f>
        <v>137933.33000000002</v>
      </c>
      <c r="O791" s="93">
        <f t="shared" ca="1" si="320"/>
        <v>41.149561455847262</v>
      </c>
      <c r="P791" s="93">
        <f t="shared" ca="1" si="321"/>
        <v>41.149561455847262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>
      <c r="A792" s="569"/>
      <c r="B792" s="570"/>
      <c r="C792" s="758"/>
      <c r="D792" s="758"/>
      <c r="E792" s="758"/>
      <c r="F792" s="758" t="s">
        <v>187</v>
      </c>
      <c r="G792" s="189"/>
      <c r="H792" s="809" t="s">
        <v>12</v>
      </c>
      <c r="I792" s="806"/>
      <c r="J792" s="806"/>
      <c r="K792" s="80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>
      <c r="A793" s="569"/>
      <c r="B793" s="570"/>
      <c r="C793" s="758"/>
      <c r="D793" s="758"/>
      <c r="E793" s="758"/>
      <c r="F793" s="758" t="s">
        <v>188</v>
      </c>
      <c r="G793" s="189"/>
      <c r="H793" s="809" t="s">
        <v>12</v>
      </c>
      <c r="I793" s="806"/>
      <c r="J793" s="806"/>
      <c r="K793" s="80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>
      <c r="A794" s="569"/>
      <c r="B794" s="570"/>
      <c r="C794" s="758"/>
      <c r="D794" s="758"/>
      <c r="E794" s="758"/>
      <c r="F794" s="758" t="s">
        <v>189</v>
      </c>
      <c r="G794" s="189"/>
      <c r="H794" s="809" t="s">
        <v>12</v>
      </c>
      <c r="I794" s="806"/>
      <c r="J794" s="806"/>
      <c r="K794" s="807"/>
      <c r="L794" s="497"/>
      <c r="M794" s="497"/>
      <c r="N794" s="284">
        <v>103133.33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>
      <c r="A795" s="569"/>
      <c r="B795" s="570"/>
      <c r="C795" s="758"/>
      <c r="D795" s="758"/>
      <c r="E795" s="758"/>
      <c r="F795" s="758" t="s">
        <v>190</v>
      </c>
      <c r="G795" s="189"/>
      <c r="H795" s="809" t="s">
        <v>12</v>
      </c>
      <c r="I795" s="806"/>
      <c r="J795" s="806"/>
      <c r="K795" s="807"/>
      <c r="L795" s="497"/>
      <c r="M795" s="497"/>
      <c r="N795" s="284">
        <v>34800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>
      <c r="A796" s="592"/>
      <c r="B796" s="570"/>
      <c r="C796" s="758"/>
      <c r="D796" s="601" t="s">
        <v>21</v>
      </c>
      <c r="E796" s="758"/>
      <c r="F796" s="758"/>
      <c r="G796" s="189"/>
      <c r="H796" s="812" t="s">
        <v>12</v>
      </c>
      <c r="I796" s="810"/>
      <c r="J796" s="810"/>
      <c r="K796" s="811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>
      <c r="A800" s="603"/>
      <c r="B800" s="613"/>
      <c r="C800" s="613"/>
      <c r="D800" s="613"/>
      <c r="E800" s="621"/>
      <c r="F800" s="621" t="s">
        <v>321</v>
      </c>
      <c r="G800" s="757"/>
      <c r="H800" s="815" t="s">
        <v>34</v>
      </c>
      <c r="I800" s="810"/>
      <c r="J800" s="816">
        <f ca="1">IFERROR(__xludf.DUMMYFUNCTION("IMPORTRANGE(""https://docs.google.com/spreadsheets/d/1MaWodYyGHDf7siQLGxnXhG4mBNTNIuy296niS2xXulU/edit?usp=sharing"",""RTK!H69"")"),61)</f>
        <v>61</v>
      </c>
      <c r="K800" s="807"/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>
      <c r="A801" s="603"/>
      <c r="B801" s="613"/>
      <c r="C801" s="613"/>
      <c r="D801" s="613"/>
      <c r="E801" s="621"/>
      <c r="F801" s="621"/>
      <c r="G801" s="757"/>
      <c r="H801" s="809" t="s">
        <v>46</v>
      </c>
      <c r="I801" s="816">
        <f ca="1">IFERROR(__xludf.DUMMYFUNCTION("IMPORTRANGE(""https://docs.google.com/spreadsheets/d/1MaWodYyGHDf7siQLGxnXhG4mBNTNIuy296niS2xXulU/edit?usp=sharing"",""RTK!G69"")"),5000)</f>
        <v>5000</v>
      </c>
      <c r="J801" s="817">
        <f ca="1">IFERROR(__xludf.DUMMYFUNCTION("IMPORTRANGE(""https://docs.google.com/spreadsheets/d/1MaWodYyGHDf7siQLGxnXhG4mBNTNIuy296niS2xXulU/edit?usp=sharing"",""RTK!I69"")"),1342)</f>
        <v>1342</v>
      </c>
      <c r="K801" s="818">
        <f ca="1">IF(I801&gt;0,J801*100/I801,0)</f>
        <v>26.84</v>
      </c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>
      <c r="A802" s="609"/>
      <c r="B802" s="611"/>
      <c r="C802" s="611"/>
      <c r="D802" s="611"/>
      <c r="E802" s="715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IFERROR(__xludf.DUMMYFUNCTION("IMPORTRANGE(""https://docs.google.com/spreadsheets/d/1MaWodYyGHDf7siQLGxnXhG4mBNTNIuy296niS2xXulU/edit?usp=sharing"",""RTK!L69"")"),0)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>
      <c r="A803" s="609"/>
      <c r="B803" s="611"/>
      <c r="C803" s="611"/>
      <c r="D803" s="611"/>
      <c r="E803" s="715"/>
      <c r="F803" s="715"/>
      <c r="G803" s="366"/>
      <c r="H803" s="815" t="s">
        <v>46</v>
      </c>
      <c r="I803" s="816">
        <f ca="1">IFERROR(__xludf.DUMMYFUNCTION("IMPORTRANGE(""https://docs.google.com/spreadsheets/d/1MaWodYyGHDf7siQLGxnXhG4mBNTNIuy296niS2xXulU/edit?usp=sharing"",""RTK!K69"")"),0)</f>
        <v>0</v>
      </c>
      <c r="J803" s="817">
        <f ca="1">IFERROR(__xludf.DUMMYFUNCTION("IMPORTRANGE(""https://docs.google.com/spreadsheets/d/1MaWodYyGHDf7siQLGxnXhG4mBNTNIuy296niS2xXulU/edit?usp=sharing"",""RTK!M69"")"),0)</f>
        <v>0</v>
      </c>
      <c r="K803" s="818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27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8">L806+L807</f>
        <v>0</v>
      </c>
      <c r="M805" s="642">
        <f t="shared" si="328"/>
        <v>0</v>
      </c>
      <c r="N805" s="642">
        <f t="shared" si="328"/>
        <v>0</v>
      </c>
      <c r="O805" s="642">
        <f t="shared" ref="O805:O810" si="329">IF(L805&gt;0,N805*100/L805,0)</f>
        <v>0</v>
      </c>
      <c r="P805" s="642">
        <f t="shared" ref="P805:P810" si="330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2">L809+L810</f>
        <v>0</v>
      </c>
      <c r="M808" s="642">
        <f t="shared" si="332"/>
        <v>0</v>
      </c>
      <c r="N808" s="642">
        <f t="shared" si="332"/>
        <v>0</v>
      </c>
      <c r="O808" s="642">
        <f t="shared" si="329"/>
        <v>0</v>
      </c>
      <c r="P808" s="642">
        <f t="shared" si="330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3">L816+L817</f>
        <v>0</v>
      </c>
      <c r="M815" s="642">
        <f t="shared" si="333"/>
        <v>0</v>
      </c>
      <c r="N815" s="642">
        <f t="shared" si="333"/>
        <v>0</v>
      </c>
      <c r="O815" s="642">
        <f t="shared" ref="O815:O817" si="334">IF(L815&gt;0,N815*100/L815,0)</f>
        <v>0</v>
      </c>
      <c r="P815" s="642">
        <f t="shared" ref="P815:P817" si="335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70">
        <f ca="1">IFERROR(__xludf.DUMMYFUNCTION("IMPORTRANGE(""https://docs.google.com/spreadsheets/d/19vJNZY_5yjcGF2XGBMNZRCAIB0Kwfpjp8YEOfu-bneM/edit?usp=sharing"",""งานกองทุน!F69"")"),7187246.69)</f>
        <v>7187246.6900000004</v>
      </c>
      <c r="K821" s="497">
        <f t="shared" ref="K821:K828" ca="1" si="336">IF(I821&gt;0,J821*100/I821,0)</f>
        <v>75.194661567752917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IFERROR(__xludf.DUMMYFUNCTION("IMPORTRANGE(""https://docs.google.com/spreadsheets/d/19vJNZY_5yjcGF2XGBMNZRCAIB0Kwfpjp8YEOfu-bneM/edit?usp=sharing"",""งานกองทุน!C69"")"),600)</f>
        <v>600</v>
      </c>
      <c r="J822" s="270">
        <f ca="1">IFERROR(__xludf.DUMMYFUNCTION("IMPORTRANGE(""https://docs.google.com/spreadsheets/d/19vJNZY_5yjcGF2XGBMNZRCAIB0Kwfpjp8YEOfu-bneM/edit?usp=sharing"",""งานกองทุน!E69"")"),436)</f>
        <v>436</v>
      </c>
      <c r="K822" s="497">
        <f t="shared" ca="1" si="336"/>
        <v>72.666666666666671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70">
        <f ca="1">IFERROR(__xludf.DUMMYFUNCTION("IMPORTRANGE(""https://docs.google.com/spreadsheets/d/19vJNZY_5yjcGF2XGBMNZRCAIB0Kwfpjp8YEOfu-bneM/edit?usp=sharing"",""งานกองทุน!K69"")"),1178088.04)</f>
        <v>1178088.04</v>
      </c>
      <c r="K823" s="497">
        <f t="shared" ca="1" si="336"/>
        <v>28.628732929355397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IFERROR(__xludf.DUMMYFUNCTION("IMPORTRANGE(""https://docs.google.com/spreadsheets/d/19vJNZY_5yjcGF2XGBMNZRCAIB0Kwfpjp8YEOfu-bneM/edit?usp=sharing"",""งานกองทุน!H69"")"),163)</f>
        <v>163</v>
      </c>
      <c r="J824" s="270">
        <f ca="1">IFERROR(__xludf.DUMMYFUNCTION("IMPORTRANGE(""https://docs.google.com/spreadsheets/d/19vJNZY_5yjcGF2XGBMNZRCAIB0Kwfpjp8YEOfu-bneM/edit?usp=sharing"",""งานกองทุน!J69"")"),131)</f>
        <v>131</v>
      </c>
      <c r="K824" s="497">
        <f t="shared" ca="1" si="336"/>
        <v>80.368098159509202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IFERROR(__xludf.DUMMYFUNCTION("IMPORTRANGE(""https://docs.google.com/spreadsheets/d/19vJNZY_5yjcGF2XGBMNZRCAIB0Kwfpjp8YEOfu-bneM/edit?usp=sharing"",""งานกองทุน!N69"")"),0)</f>
        <v>0</v>
      </c>
      <c r="J825" s="270">
        <f ca="1">IFERROR(__xludf.DUMMYFUNCTION("IMPORTRANGE(""https://docs.google.com/spreadsheets/d/19vJNZY_5yjcGF2XGBMNZRCAIB0Kwfpjp8YEOfu-bneM/edit?usp=sharing"",""งานกองทุน!P69"")"),24484.28)</f>
        <v>24484.28</v>
      </c>
      <c r="K825" s="497">
        <f t="shared" ca="1" si="336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IFERROR(__xludf.DUMMYFUNCTION("IMPORTRANGE(""https://docs.google.com/spreadsheets/d/19vJNZY_5yjcGF2XGBMNZRCAIB0Kwfpjp8YEOfu-bneM/edit?usp=sharing"",""งานกองทุน!M69"")"),0)</f>
        <v>0</v>
      </c>
      <c r="J826" s="270">
        <f ca="1">IFERROR(__xludf.DUMMYFUNCTION("IMPORTRANGE(""https://docs.google.com/spreadsheets/d/19vJNZY_5yjcGF2XGBMNZRCAIB0Kwfpjp8YEOfu-bneM/edit?usp=sharing"",""งานกองทุน!O69"")"),2)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IFERROR(__xludf.DUMMYFUNCTION("IMPORTRANGE(""https://docs.google.com/spreadsheets/d/19vJNZY_5yjcGF2XGBMNZRCAIB0Kwfpjp8YEOfu-bneM/edit?usp=sharing"",""งานกองทุน!S69"")"),10000000)</f>
        <v>10000000</v>
      </c>
      <c r="J827" s="270">
        <f ca="1">IFERROR(__xludf.DUMMYFUNCTION("IMPORTRANGE(""https://docs.google.com/spreadsheets/d/19vJNZY_5yjcGF2XGBMNZRCAIB0Kwfpjp8YEOfu-bneM/edit?usp=sharing"",""งานกองทุน!U69"")"),13500000)</f>
        <v>13500000</v>
      </c>
      <c r="K827" s="497">
        <f t="shared" ca="1" si="336"/>
        <v>135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IFERROR(__xludf.DUMMYFUNCTION("IMPORTRANGE(""https://docs.google.com/spreadsheets/d/19vJNZY_5yjcGF2XGBMNZRCAIB0Kwfpjp8YEOfu-bneM/edit?usp=sharing"",""งานกองทุน!R69"")"),302)</f>
        <v>302</v>
      </c>
      <c r="J828" s="501">
        <f ca="1">IFERROR(__xludf.DUMMYFUNCTION("IMPORTRANGE(""https://docs.google.com/spreadsheets/d/19vJNZY_5yjcGF2XGBMNZRCAIB0Kwfpjp8YEOfu-bneM/edit?usp=sharing"",""งานกองทุน!T69"")"),308)</f>
        <v>308</v>
      </c>
      <c r="K828" s="502">
        <f t="shared" ca="1" si="336"/>
        <v>101.98675496688742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A1F4-C41C-4968-9FAE-1CD5026ACB08}">
  <sheetPr codeName="Sheet19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4108215</v>
      </c>
      <c r="M8" s="22">
        <f t="shared" ca="1" si="0"/>
        <v>4135734</v>
      </c>
      <c r="N8" s="22">
        <f t="shared" ca="1" si="0"/>
        <v>3049804.04</v>
      </c>
      <c r="O8" s="22">
        <f t="shared" ref="O8:O16" ca="1" si="1">IF(L8&gt;0,N8*100/L8,0)</f>
        <v>74.236719353782604</v>
      </c>
      <c r="P8" s="22">
        <f t="shared" ref="P8:P16" ca="1" si="2">IF(M8&gt;0,N8*100/M8,0)</f>
        <v>73.742751347161104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4108215</v>
      </c>
      <c r="M10" s="30">
        <f t="shared" ca="1" si="3"/>
        <v>4135734</v>
      </c>
      <c r="N10" s="30">
        <f t="shared" ca="1" si="3"/>
        <v>3049804.04</v>
      </c>
      <c r="O10" s="30">
        <f t="shared" ca="1" si="1"/>
        <v>74.236719353782604</v>
      </c>
      <c r="P10" s="30">
        <f t="shared" ca="1" si="2"/>
        <v>73.742751347161104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3994415</v>
      </c>
      <c r="M11" s="497">
        <f t="shared" ca="1" si="4"/>
        <v>4021934</v>
      </c>
      <c r="N11" s="497">
        <f t="shared" ca="1" si="4"/>
        <v>2936004.04</v>
      </c>
      <c r="O11" s="497">
        <f t="shared" ca="1" si="1"/>
        <v>73.502729185625427</v>
      </c>
      <c r="P11" s="497">
        <f t="shared" ca="1" si="2"/>
        <v>72.999806560724267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3994415</v>
      </c>
      <c r="M13" s="93">
        <f t="shared" ca="1" si="5"/>
        <v>4021934</v>
      </c>
      <c r="N13" s="93">
        <f t="shared" ca="1" si="5"/>
        <v>2936004.04</v>
      </c>
      <c r="O13" s="93">
        <f t="shared" ca="1" si="1"/>
        <v>73.502729185625427</v>
      </c>
      <c r="P13" s="93">
        <f t="shared" ca="1" si="2"/>
        <v>72.999806560724267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2913016</v>
      </c>
      <c r="M18" s="22">
        <f t="shared" ca="1" si="8"/>
        <v>2950671</v>
      </c>
      <c r="N18" s="22">
        <f t="shared" ca="1" si="8"/>
        <v>2349902.85</v>
      </c>
      <c r="O18" s="22">
        <f t="shared" ref="O18:O26" ca="1" si="9">IF(L18&gt;0,N18*100/L18,0)</f>
        <v>80.669067729116492</v>
      </c>
      <c r="P18" s="22">
        <f t="shared" ref="P18:P26" ca="1" si="10">IF(M18&gt;0,N18*100/M18,0)</f>
        <v>79.639609092304767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2913016</v>
      </c>
      <c r="M20" s="30">
        <f t="shared" ca="1" si="11"/>
        <v>2950671</v>
      </c>
      <c r="N20" s="30">
        <f t="shared" ca="1" si="11"/>
        <v>2349902.85</v>
      </c>
      <c r="O20" s="30">
        <f t="shared" ca="1" si="9"/>
        <v>80.669067729116492</v>
      </c>
      <c r="P20" s="30">
        <f t="shared" ca="1" si="10"/>
        <v>79.639609092304767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2799216</v>
      </c>
      <c r="M21" s="497">
        <f t="shared" ca="1" si="12"/>
        <v>2836871</v>
      </c>
      <c r="N21" s="497">
        <f t="shared" ca="1" si="12"/>
        <v>2236102.85</v>
      </c>
      <c r="O21" s="497">
        <f t="shared" ca="1" si="9"/>
        <v>79.88318336277014</v>
      </c>
      <c r="P21" s="497">
        <f t="shared" ca="1" si="10"/>
        <v>78.822859763450651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2799216</v>
      </c>
      <c r="M23" s="93">
        <f t="shared" ca="1" si="13"/>
        <v>2836871</v>
      </c>
      <c r="N23" s="93">
        <f t="shared" ca="1" si="13"/>
        <v>2236102.85</v>
      </c>
      <c r="O23" s="93">
        <f t="shared" ca="1" si="9"/>
        <v>79.88318336277014</v>
      </c>
      <c r="P23" s="93">
        <f t="shared" ca="1" si="10"/>
        <v>78.822859763450651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1195199</v>
      </c>
      <c r="M28" s="22">
        <f t="shared" ca="1" si="16"/>
        <v>1185063</v>
      </c>
      <c r="N28" s="22">
        <f t="shared" si="16"/>
        <v>699901.19</v>
      </c>
      <c r="O28" s="22">
        <f t="shared" ref="O28:O37" ca="1" si="17">IF(L28&gt;0,N28*100/L28,0)</f>
        <v>58.55938550818734</v>
      </c>
      <c r="P28" s="22">
        <f t="shared" ref="P28:P37" ca="1" si="18">IF(M28&gt;0,N28*100/M28,0)</f>
        <v>59.060251649068448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1195199</v>
      </c>
      <c r="M30" s="30">
        <f t="shared" ca="1" si="19"/>
        <v>1185063</v>
      </c>
      <c r="N30" s="30">
        <f t="shared" si="19"/>
        <v>699901.19</v>
      </c>
      <c r="O30" s="30">
        <f t="shared" ca="1" si="17"/>
        <v>58.55938550818734</v>
      </c>
      <c r="P30" s="30">
        <f t="shared" ca="1" si="18"/>
        <v>59.060251649068448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1195199</v>
      </c>
      <c r="M31" s="497">
        <f t="shared" ca="1" si="20"/>
        <v>1185063</v>
      </c>
      <c r="N31" s="497">
        <f t="shared" si="20"/>
        <v>699901.19</v>
      </c>
      <c r="O31" s="497">
        <f t="shared" ca="1" si="17"/>
        <v>58.55938550818734</v>
      </c>
      <c r="P31" s="497">
        <f t="shared" ca="1" si="18"/>
        <v>59.060251649068448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1195199</v>
      </c>
      <c r="M33" s="93">
        <f t="shared" ca="1" si="21"/>
        <v>1185063</v>
      </c>
      <c r="N33" s="93">
        <f t="shared" si="21"/>
        <v>699901.19</v>
      </c>
      <c r="O33" s="93">
        <f t="shared" ca="1" si="17"/>
        <v>58.55938550818734</v>
      </c>
      <c r="P33" s="93">
        <f t="shared" ca="1" si="18"/>
        <v>59.060251649068448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2913016</v>
      </c>
      <c r="M37" s="59">
        <f t="shared" ca="1" si="24"/>
        <v>2950671</v>
      </c>
      <c r="N37" s="59">
        <f t="shared" ca="1" si="24"/>
        <v>2349902.85</v>
      </c>
      <c r="O37" s="59">
        <f t="shared" ca="1" si="17"/>
        <v>80.669067729116492</v>
      </c>
      <c r="P37" s="59">
        <f t="shared" ca="1" si="18"/>
        <v>79.639609092304767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474896</v>
      </c>
      <c r="M41" s="85">
        <f t="shared" ca="1" si="25"/>
        <v>495651</v>
      </c>
      <c r="N41" s="85">
        <f t="shared" ca="1" si="25"/>
        <v>415152</v>
      </c>
      <c r="O41" s="85">
        <f t="shared" ref="O41:O49" ca="1" si="26">IF(L41&gt;0,N41*100/L41,0)</f>
        <v>87.41956133553451</v>
      </c>
      <c r="P41" s="85">
        <f t="shared" ref="P41:P49" ca="1" si="27">IF(M41&gt;0,N41*100/M41,0)</f>
        <v>83.75893521853078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474896</v>
      </c>
      <c r="M43" s="92">
        <f t="shared" ca="1" si="28"/>
        <v>495651</v>
      </c>
      <c r="N43" s="92">
        <f t="shared" ca="1" si="28"/>
        <v>415152</v>
      </c>
      <c r="O43" s="92">
        <f t="shared" ca="1" si="26"/>
        <v>87.41956133553451</v>
      </c>
      <c r="P43" s="92">
        <f t="shared" ca="1" si="27"/>
        <v>83.75893521853078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474896</v>
      </c>
      <c r="M44" s="497">
        <f t="shared" ca="1" si="29"/>
        <v>495651</v>
      </c>
      <c r="N44" s="497">
        <f t="shared" ca="1" si="29"/>
        <v>415152</v>
      </c>
      <c r="O44" s="497">
        <f t="shared" ca="1" si="26"/>
        <v>87.41956133553451</v>
      </c>
      <c r="P44" s="497">
        <f t="shared" ca="1" si="27"/>
        <v>83.75893521853078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IFERROR(__xludf.DUMMYFUNCTION("IMPORTRANGE(""https://docs.google.com/spreadsheets/d/1MeEWN-I1oV_STSDYn1IFDPWt_1FKiwhDph83XaGc0o0/edit?usp=sharing"",""งบพรบ!M70"")"),474896)</f>
        <v>474896</v>
      </c>
      <c r="M46" s="93">
        <f ca="1">IFERROR(__xludf.DUMMYFUNCTION("IMPORTRANGE(""https://docs.google.com/spreadsheets/d/1MeEWN-I1oV_STSDYn1IFDPWt_1FKiwhDph83XaGc0o0/edit?usp=sharing"",""งบพรบ!R70"")"),495651)</f>
        <v>495651</v>
      </c>
      <c r="N46" s="93">
        <f ca="1">IFERROR(__xludf.DUMMYFUNCTION("IMPORTRANGE(""https://docs.google.com/spreadsheets/d/1MeEWN-I1oV_STSDYn1IFDPWt_1FKiwhDph83XaGc0o0/edit?usp=sharing"",""งบพรบ!T70"")"),415152)</f>
        <v>415152</v>
      </c>
      <c r="O46" s="93">
        <f t="shared" ca="1" si="26"/>
        <v>87.41956133553451</v>
      </c>
      <c r="P46" s="93">
        <f t="shared" ca="1" si="27"/>
        <v>83.75893521853078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IFERROR(__xludf.DUMMYFUNCTION("IMPORTRANGE(""https://docs.google.com/spreadsheets/d/1MeEWN-I1oV_STSDYn1IFDPWt_1FKiwhDph83XaGc0o0/edit?usp=sharing"",""งบพรบ!P70"")"),0)</f>
        <v>0</v>
      </c>
      <c r="M49" s="52">
        <f ca="1">IFERROR(__xludf.DUMMYFUNCTION("IMPORTRANGE(""https://docs.google.com/spreadsheets/d/1MeEWN-I1oV_STSDYn1IFDPWt_1FKiwhDph83XaGc0o0/edit?usp=sharing"",""งบพรบ!S70"")"),0)</f>
        <v>0</v>
      </c>
      <c r="N49" s="52">
        <f ca="1">IFERROR(__xludf.DUMMYFUNCTION("IMPORTRANGE(""https://docs.google.com/spreadsheets/d/1MeEWN-I1oV_STSDYn1IFDPWt_1FKiwhDph83XaGc0o0/edit?usp=sharing"",""งบพรบ!U70"")"),0)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643000</v>
      </c>
      <c r="M53" s="116">
        <f t="shared" ca="1" si="31"/>
        <v>643000</v>
      </c>
      <c r="N53" s="116">
        <f t="shared" ca="1" si="31"/>
        <v>603992.88</v>
      </c>
      <c r="O53" s="116">
        <f t="shared" ref="O53:O61" ca="1" si="32">IF(L53&gt;0,N53*100/L53,0)</f>
        <v>93.933573872472778</v>
      </c>
      <c r="P53" s="116">
        <f t="shared" ref="P53:P61" ca="1" si="33">IF(M53&gt;0,N53*100/M53,0)</f>
        <v>93.933573872472778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643000</v>
      </c>
      <c r="M55" s="123">
        <f t="shared" ca="1" si="34"/>
        <v>643000</v>
      </c>
      <c r="N55" s="123">
        <f t="shared" ca="1" si="34"/>
        <v>603992.88</v>
      </c>
      <c r="O55" s="123">
        <f t="shared" ca="1" si="32"/>
        <v>93.933573872472778</v>
      </c>
      <c r="P55" s="123">
        <f t="shared" ca="1" si="33"/>
        <v>93.933573872472778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643000</v>
      </c>
      <c r="M56" s="497">
        <f t="shared" ca="1" si="35"/>
        <v>643000</v>
      </c>
      <c r="N56" s="497">
        <f t="shared" ca="1" si="35"/>
        <v>603992.88</v>
      </c>
      <c r="O56" s="497">
        <f t="shared" ca="1" si="32"/>
        <v>93.933573872472778</v>
      </c>
      <c r="P56" s="497">
        <f t="shared" ca="1" si="33"/>
        <v>93.933573872472778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IFERROR(__xludf.DUMMYFUNCTION("IMPORTRANGE(""https://docs.google.com/spreadsheets/d/1MeEWN-I1oV_STSDYn1IFDPWt_1FKiwhDph83XaGc0o0/edit?usp=sharing"",""งบพรบ!W70"")"),643000)</f>
        <v>643000</v>
      </c>
      <c r="M58" s="93">
        <f ca="1">IFERROR(__xludf.DUMMYFUNCTION("IMPORTRANGE(""https://docs.google.com/spreadsheets/d/1MeEWN-I1oV_STSDYn1IFDPWt_1FKiwhDph83XaGc0o0/edit?usp=sharing"",""งบพรบ!AB70"")"),643000)</f>
        <v>643000</v>
      </c>
      <c r="N58" s="93">
        <f ca="1">IFERROR(__xludf.DUMMYFUNCTION("IMPORTRANGE(""https://docs.google.com/spreadsheets/d/1MeEWN-I1oV_STSDYn1IFDPWt_1FKiwhDph83XaGc0o0/edit?usp=sharing"",""งบพรบ!AD70"")"),603992.88)</f>
        <v>603992.88</v>
      </c>
      <c r="O58" s="93">
        <f t="shared" ca="1" si="32"/>
        <v>93.933573872472778</v>
      </c>
      <c r="P58" s="93">
        <f t="shared" ca="1" si="33"/>
        <v>93.933573872472778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IFERROR(__xludf.DUMMYFUNCTION("IMPORTRANGE(""https://docs.google.com/spreadsheets/d/1MeEWN-I1oV_STSDYn1IFDPWt_1FKiwhDph83XaGc0o0/edit?usp=sharing"",""งบพรบ!Z70"")"),0)</f>
        <v>0</v>
      </c>
      <c r="M61" s="52">
        <f ca="1">IFERROR(__xludf.DUMMYFUNCTION("IMPORTRANGE(""https://docs.google.com/spreadsheets/d/1MeEWN-I1oV_STSDYn1IFDPWt_1FKiwhDph83XaGc0o0/edit?usp=sharing"",""งบพรบ!AC70"")"),0)</f>
        <v>0</v>
      </c>
      <c r="N61" s="52">
        <f ca="1">IFERROR(__xludf.DUMMYFUNCTION("IMPORTRANGE(""https://docs.google.com/spreadsheets/d/1MeEWN-I1oV_STSDYn1IFDPWt_1FKiwhDph83XaGc0o0/edit?usp=sharing"",""งบพรบ!AE70"")"),0)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IFERROR(__xludf.DUMMYFUNCTION("IMPORTRANGE(""https://docs.google.com/spreadsheets/d/1MeEWN-I1oV_STSDYn1IFDPWt_1FKiwhDph83XaGc0o0/edit?usp=sharing"",""งบพรบ!AG70"")"),0)</f>
        <v>0</v>
      </c>
      <c r="M71" s="93">
        <f ca="1">IFERROR(__xludf.DUMMYFUNCTION("IMPORTRANGE(""https://docs.google.com/spreadsheets/d/1MeEWN-I1oV_STSDYn1IFDPWt_1FKiwhDph83XaGc0o0/edit?usp=sharing"",""งบพรบ!AL70"")"),0)</f>
        <v>0</v>
      </c>
      <c r="N71" s="93">
        <f ca="1">IFERROR(__xludf.DUMMYFUNCTION("IMPORTRANGE(""https://docs.google.com/spreadsheets/d/1MeEWN-I1oV_STSDYn1IFDPWt_1FKiwhDph83XaGc0o0/edit?usp=sharing"",""งบพรบ!AN70"")"),0)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IFERROR(__xludf.DUMMYFUNCTION("IMPORTRANGE(""https://docs.google.com/spreadsheets/d/1MeEWN-I1oV_STSDYn1IFDPWt_1FKiwhDph83XaGc0o0/edit?usp=sharing"",""งบพรบ!AJ70"")"),0)</f>
        <v>0</v>
      </c>
      <c r="M74" s="93">
        <f ca="1">IFERROR(__xludf.DUMMYFUNCTION("IMPORTRANGE(""https://docs.google.com/spreadsheets/d/1MeEWN-I1oV_STSDYn1IFDPWt_1FKiwhDph83XaGc0o0/edit?usp=sharing"",""งบพรบ!AM70"")"),0)</f>
        <v>0</v>
      </c>
      <c r="N74" s="93">
        <f ca="1">IFERROR(__xludf.DUMMYFUNCTION("IMPORTRANGE(""https://docs.google.com/spreadsheets/d/1MeEWN-I1oV_STSDYn1IFDPWt_1FKiwhDph83XaGc0o0/edit?usp=sharing"",""งบพรบ!AO70"")"),0)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68660</v>
      </c>
      <c r="M88" s="155">
        <f t="shared" ca="1" si="49"/>
        <v>68660</v>
      </c>
      <c r="N88" s="155">
        <f t="shared" ca="1" si="49"/>
        <v>54635.6</v>
      </c>
      <c r="O88" s="155">
        <f t="shared" ref="O88:O96" ca="1" si="50">IF(L88&gt;0,N88*100/L88,0)</f>
        <v>79.574133411010777</v>
      </c>
      <c r="P88" s="155">
        <f t="shared" ref="P88:P96" ca="1" si="51">IF(M88&gt;0,N88*100/M88,0)</f>
        <v>79.574133411010777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68660</v>
      </c>
      <c r="M90" s="93">
        <f t="shared" ca="1" si="52"/>
        <v>68660</v>
      </c>
      <c r="N90" s="93">
        <f t="shared" ca="1" si="52"/>
        <v>54635.6</v>
      </c>
      <c r="O90" s="93">
        <f t="shared" ca="1" si="50"/>
        <v>79.574133411010777</v>
      </c>
      <c r="P90" s="93">
        <f t="shared" ca="1" si="51"/>
        <v>79.574133411010777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68660</v>
      </c>
      <c r="M91" s="497">
        <f t="shared" ca="1" si="53"/>
        <v>68660</v>
      </c>
      <c r="N91" s="497">
        <f t="shared" ca="1" si="53"/>
        <v>54635.6</v>
      </c>
      <c r="O91" s="497">
        <f t="shared" ca="1" si="50"/>
        <v>79.574133411010777</v>
      </c>
      <c r="P91" s="497">
        <f t="shared" ca="1" si="51"/>
        <v>79.574133411010777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IFERROR(__xludf.DUMMYFUNCTION("IMPORTRANGE(""https://docs.google.com/spreadsheets/d/1MeEWN-I1oV_STSDYn1IFDPWt_1FKiwhDph83XaGc0o0/edit?usp=sharing"",""งบพรบ!AQ70"")"),68660)</f>
        <v>68660</v>
      </c>
      <c r="M93" s="93">
        <f ca="1">IFERROR(__xludf.DUMMYFUNCTION("IMPORTRANGE(""https://docs.google.com/spreadsheets/d/1MeEWN-I1oV_STSDYn1IFDPWt_1FKiwhDph83XaGc0o0/edit?usp=sharing"",""งบพรบ!AV70"")"),68660)</f>
        <v>68660</v>
      </c>
      <c r="N93" s="93">
        <f ca="1">IFERROR(__xludf.DUMMYFUNCTION("IMPORTRANGE(""https://docs.google.com/spreadsheets/d/1MeEWN-I1oV_STSDYn1IFDPWt_1FKiwhDph83XaGc0o0/edit?usp=sharing"",""งบพรบ!AX70"")"),54635.6)</f>
        <v>54635.6</v>
      </c>
      <c r="O93" s="93">
        <f t="shared" ca="1" si="50"/>
        <v>79.574133411010777</v>
      </c>
      <c r="P93" s="93">
        <f t="shared" ca="1" si="51"/>
        <v>79.574133411010777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IFERROR(__xludf.DUMMYFUNCTION("IMPORTRANGE(""https://docs.google.com/spreadsheets/d/1MeEWN-I1oV_STSDYn1IFDPWt_1FKiwhDph83XaGc0o0/edit?usp=sharing"",""งบพรบ!AT70"")"),0)</f>
        <v>0</v>
      </c>
      <c r="M96" s="93">
        <f ca="1">IFERROR(__xludf.DUMMYFUNCTION("IMPORTRANGE(""https://docs.google.com/spreadsheets/d/1MeEWN-I1oV_STSDYn1IFDPWt_1FKiwhDph83XaGc0o0/edit?usp=sharing"",""งบพรบ!AW70"")"),0)</f>
        <v>0</v>
      </c>
      <c r="N96" s="93">
        <f ca="1">IFERROR(__xludf.DUMMYFUNCTION("IMPORTRANGE(""https://docs.google.com/spreadsheets/d/1MeEWN-I1oV_STSDYn1IFDPWt_1FKiwhDph83XaGc0o0/edit?usp=sharing"",""งบพรบ!AY70"")"),0)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IFERROR(__xludf.DUMMYFUNCTION("IMPORTRANGE(""https://docs.google.com/spreadsheets/d/1QqKyyYR6Q21VydFLVH3TRQUabQu_ym0Zz7PgGX0-kHA/edit?usp=sharing"",""แผน!K70"")"),45)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IFERROR(__xludf.DUMMYFUNCTION("IMPORTRANGE(""https://docs.google.com/spreadsheets/d/1QqKyyYR6Q21VydFLVH3TRQUabQu_ym0Zz7PgGX0-kHA/edit?usp=sharing"",""แผน!L70"")"),15)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IFERROR(__xludf.DUMMYFUNCTION("IMPORTRANGE(""https://docs.google.com/spreadsheets/d/1QqKyyYR6Q21VydFLVH3TRQUabQu_ym0Zz7PgGX0-kHA/edit?usp=sharing"",""แผน!M70"")"),1)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IFERROR(__xludf.DUMMYFUNCTION("IMPORTRANGE(""https://docs.google.com/spreadsheets/d/1QqKyyYR6Q21VydFLVH3TRQUabQu_ym0Zz7PgGX0-kHA/edit?usp=sharing"",""แผน!N70"")"),45)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IFERROR(__xludf.DUMMYFUNCTION("IMPORTRANGE(""https://docs.google.com/spreadsheets/d/1QqKyyYR6Q21VydFLVH3TRQUabQu_ym0Zz7PgGX0-kHA/edit?usp=sharing"",""แผน!O70"")"),15)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IFERROR(__xludf.DUMMYFUNCTION("IMPORTRANGE(""https://docs.google.com/spreadsheets/d/1QqKyyYR6Q21VydFLVH3TRQUabQu_ym0Zz7PgGX0-kHA/edit?usp=sharing"",""แผน!O70"")"),15)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IFERROR(__xludf.DUMMYFUNCTION("IMPORTRANGE(""https://docs.google.com/spreadsheets/d/1QqKyyYR6Q21VydFLVH3TRQUabQu_ym0Zz7PgGX0-kHA/edit?usp=sharing"",""แผน!R70"")"),15)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IFERROR(__xludf.DUMMYFUNCTION("IMPORTRANGE(""https://docs.google.com/spreadsheets/d/1QqKyyYR6Q21VydFLVH3TRQUabQu_ym0Zz7PgGX0-kHA/edit?usp=sharing"",""แผน!R70"")"),15)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IFERROR(__xludf.DUMMYFUNCTION("IMPORTRANGE(""https://docs.google.com/spreadsheets/d/1QqKyyYR6Q21VydFLVH3TRQUabQu_ym0Zz7PgGX0-kHA/edit?usp=sharing"",""แผน!R70"")"),15)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IFERROR(__xludf.DUMMYFUNCTION("IMPORTRANGE(""https://docs.google.com/spreadsheets/d/1QqKyyYR6Q21VydFLVH3TRQUabQu_ym0Zz7PgGX0-kHA/edit?usp=sharing"",""แผน!T70"")"),1)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IFERROR(__xludf.DUMMYFUNCTION("IMPORTRANGE(""https://docs.google.com/spreadsheets/d/1MeEWN-I1oV_STSDYn1IFDPWt_1FKiwhDph83XaGc0o0/edit?usp=sharing"",""งบพรบ!BA70"")"),0)</f>
        <v>0</v>
      </c>
      <c r="M124" s="93">
        <f ca="1">IFERROR(__xludf.DUMMYFUNCTION("IMPORTRANGE(""https://docs.google.com/spreadsheets/d/1MeEWN-I1oV_STSDYn1IFDPWt_1FKiwhDph83XaGc0o0/edit?usp=sharing"",""งบพรบ!BF70"")"),0)</f>
        <v>0</v>
      </c>
      <c r="N124" s="93">
        <f ca="1">IFERROR(__xludf.DUMMYFUNCTION("IMPORTRANGE(""https://docs.google.com/spreadsheets/d/1MeEWN-I1oV_STSDYn1IFDPWt_1FKiwhDph83XaGc0o0/edit?usp=sharing"",""งบพรบ!BH70"")"),0)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IFERROR(__xludf.DUMMYFUNCTION("IMPORTRANGE(""https://docs.google.com/spreadsheets/d/1MeEWN-I1oV_STSDYn1IFDPWt_1FKiwhDph83XaGc0o0/edit?usp=sharing"",""งบพรบ!BD70"")"),0)</f>
        <v>0</v>
      </c>
      <c r="M127" s="93">
        <f ca="1">IFERROR(__xludf.DUMMYFUNCTION("IMPORTRANGE(""https://docs.google.com/spreadsheets/d/1MeEWN-I1oV_STSDYn1IFDPWt_1FKiwhDph83XaGc0o0/edit?usp=sharing"",""งบพรบ!BG70"")"),0)</f>
        <v>0</v>
      </c>
      <c r="N127" s="93">
        <f ca="1">IFERROR(__xludf.DUMMYFUNCTION("IMPORTRANGE(""https://docs.google.com/spreadsheets/d/1MeEWN-I1oV_STSDYn1IFDPWt_1FKiwhDph83XaGc0o0/edit?usp=sharing"",""งบพรบ!BI70"")"),0)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IFERROR(__xludf.DUMMYFUNCTION("IMPORTRANGE(""https://docs.google.com/spreadsheets/d/1MeEWN-I1oV_STSDYn1IFDPWt_1FKiwhDph83XaGc0o0/edit?usp=sharing"",""งบพรบ!BK70"")"),0)</f>
        <v>0</v>
      </c>
      <c r="M137" s="93">
        <f ca="1">IFERROR(__xludf.DUMMYFUNCTION("IMPORTRANGE(""https://docs.google.com/spreadsheets/d/1MeEWN-I1oV_STSDYn1IFDPWt_1FKiwhDph83XaGc0o0/edit?usp=sharing"",""งบพรบ!BP70"")"),0)</f>
        <v>0</v>
      </c>
      <c r="N137" s="93">
        <f ca="1">IFERROR(__xludf.DUMMYFUNCTION("IMPORTRANGE(""https://docs.google.com/spreadsheets/d/1MeEWN-I1oV_STSDYn1IFDPWt_1FKiwhDph83XaGc0o0/edit?usp=sharing"",""งบพรบ!BR70"")"),0)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IFERROR(__xludf.DUMMYFUNCTION("IMPORTRANGE(""https://docs.google.com/spreadsheets/d/1MeEWN-I1oV_STSDYn1IFDPWt_1FKiwhDph83XaGc0o0/edit?usp=sharing"",""งบพรบ!BN70"")"),0)</f>
        <v>0</v>
      </c>
      <c r="M140" s="93">
        <f ca="1">IFERROR(__xludf.DUMMYFUNCTION("IMPORTRANGE(""https://docs.google.com/spreadsheets/d/1MeEWN-I1oV_STSDYn1IFDPWt_1FKiwhDph83XaGc0o0/edit?usp=sharing"",""งบพรบ!BQ70"")"),0)</f>
        <v>0</v>
      </c>
      <c r="N140" s="93">
        <f ca="1">IFERROR(__xludf.DUMMYFUNCTION("IMPORTRANGE(""https://docs.google.com/spreadsheets/d/1MeEWN-I1oV_STSDYn1IFDPWt_1FKiwhDph83XaGc0o0/edit?usp=sharing"",""งบพรบ!BS70"")"),0)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8700</v>
      </c>
      <c r="N149" s="155">
        <f t="shared" ca="1" si="77"/>
        <v>8700</v>
      </c>
      <c r="O149" s="155">
        <f t="shared" ref="O149:O157" ca="1" si="78">IF(L149&gt;0,N149*100/L149,0)</f>
        <v>116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8700</v>
      </c>
      <c r="N151" s="93">
        <f t="shared" ca="1" si="80"/>
        <v>8700</v>
      </c>
      <c r="O151" s="93">
        <f t="shared" ca="1" si="78"/>
        <v>116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8700</v>
      </c>
      <c r="N152" s="497">
        <f t="shared" ca="1" si="81"/>
        <v>8700</v>
      </c>
      <c r="O152" s="497">
        <f t="shared" ca="1" si="78"/>
        <v>116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IFERROR(__xludf.DUMMYFUNCTION("IMPORTRANGE(""https://docs.google.com/spreadsheets/d/1MeEWN-I1oV_STSDYn1IFDPWt_1FKiwhDph83XaGc0o0/edit?usp=sharing"",""งบพรบ!BU70"")"),7500)</f>
        <v>7500</v>
      </c>
      <c r="M154" s="93">
        <f ca="1">IFERROR(__xludf.DUMMYFUNCTION("IMPORTRANGE(""https://docs.google.com/spreadsheets/d/1MeEWN-I1oV_STSDYn1IFDPWt_1FKiwhDph83XaGc0o0/edit?usp=sharing"",""งบพรบ!BZ70"")"),8700)</f>
        <v>8700</v>
      </c>
      <c r="N154" s="93">
        <f ca="1">IFERROR(__xludf.DUMMYFUNCTION("IMPORTRANGE(""https://docs.google.com/spreadsheets/d/1MeEWN-I1oV_STSDYn1IFDPWt_1FKiwhDph83XaGc0o0/edit?usp=sharing"",""งบพรบ!CB70"")"),8700)</f>
        <v>8700</v>
      </c>
      <c r="O154" s="93">
        <f t="shared" ca="1" si="78"/>
        <v>116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IFERROR(__xludf.DUMMYFUNCTION("IMPORTRANGE(""https://docs.google.com/spreadsheets/d/1MeEWN-I1oV_STSDYn1IFDPWt_1FKiwhDph83XaGc0o0/edit?usp=sharing"",""งบพรบ!BX70"")"),0)</f>
        <v>0</v>
      </c>
      <c r="M157" s="93">
        <f ca="1">IFERROR(__xludf.DUMMYFUNCTION("IMPORTRANGE(""https://docs.google.com/spreadsheets/d/1MeEWN-I1oV_STSDYn1IFDPWt_1FKiwhDph83XaGc0o0/edit?usp=sharing"",""งบพรบ!CA70"")"),0)</f>
        <v>0</v>
      </c>
      <c r="N157" s="93">
        <f ca="1">IFERROR(__xludf.DUMMYFUNCTION("IMPORTRANGE(""https://docs.google.com/spreadsheets/d/1MeEWN-I1oV_STSDYn1IFDPWt_1FKiwhDph83XaGc0o0/edit?usp=sharing"",""งบพรบ!CC70"")"),0)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IFERROR(__xludf.DUMMYFUNCTION("IMPORTRANGE(""https://docs.google.com/spreadsheets/d/1QqKyyYR6Q21VydFLVH3TRQUabQu_ym0Zz7PgGX0-kHA/edit?usp=sharing"",""แผน!X70"")"),15)</f>
        <v>15</v>
      </c>
      <c r="J159" s="902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36260</v>
      </c>
      <c r="N165" s="155">
        <f t="shared" ca="1" si="84"/>
        <v>33467.56</v>
      </c>
      <c r="O165" s="155">
        <f t="shared" ref="O165:O173" ca="1" si="85">IF(L165&gt;0,N165*100/L165,0)</f>
        <v>145.13252385082393</v>
      </c>
      <c r="P165" s="155">
        <f t="shared" ref="P165:P173" ca="1" si="86">IF(M165&gt;0,N165*100/M165,0)</f>
        <v>92.298841698841699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36260</v>
      </c>
      <c r="N167" s="93">
        <f t="shared" ca="1" si="87"/>
        <v>33467.56</v>
      </c>
      <c r="O167" s="93">
        <f t="shared" ca="1" si="85"/>
        <v>145.13252385082393</v>
      </c>
      <c r="P167" s="93">
        <f t="shared" ca="1" si="86"/>
        <v>92.298841698841699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36260</v>
      </c>
      <c r="N168" s="497">
        <f t="shared" ca="1" si="88"/>
        <v>33467.56</v>
      </c>
      <c r="O168" s="497">
        <f t="shared" ca="1" si="85"/>
        <v>145.13252385082393</v>
      </c>
      <c r="P168" s="497">
        <f t="shared" ca="1" si="86"/>
        <v>92.298841698841699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IFERROR(__xludf.DUMMYFUNCTION("IMPORTRANGE(""https://docs.google.com/spreadsheets/d/1MeEWN-I1oV_STSDYn1IFDPWt_1FKiwhDph83XaGc0o0/edit?usp=sharing"",""งบพรบ!CE70"")"),23060)</f>
        <v>23060</v>
      </c>
      <c r="M170" s="93">
        <f ca="1">IFERROR(__xludf.DUMMYFUNCTION("IMPORTRANGE(""https://docs.google.com/spreadsheets/d/1MeEWN-I1oV_STSDYn1IFDPWt_1FKiwhDph83XaGc0o0/edit?usp=sharing"",""งบพรบ!CJ70"")"),36260)</f>
        <v>36260</v>
      </c>
      <c r="N170" s="93">
        <f ca="1">IFERROR(__xludf.DUMMYFUNCTION("IMPORTRANGE(""https://docs.google.com/spreadsheets/d/1MeEWN-I1oV_STSDYn1IFDPWt_1FKiwhDph83XaGc0o0/edit?usp=sharing"",""งบพรบ!CL70"")"),33467.56)</f>
        <v>33467.56</v>
      </c>
      <c r="O170" s="93">
        <f t="shared" ca="1" si="85"/>
        <v>145.13252385082393</v>
      </c>
      <c r="P170" s="93">
        <f t="shared" ca="1" si="86"/>
        <v>92.298841698841699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IFERROR(__xludf.DUMMYFUNCTION("IMPORTRANGE(""https://docs.google.com/spreadsheets/d/1MeEWN-I1oV_STSDYn1IFDPWt_1FKiwhDph83XaGc0o0/edit?usp=sharing"",""งบพรบ!CH70"")"),0)</f>
        <v>0</v>
      </c>
      <c r="M173" s="93">
        <f ca="1">IFERROR(__xludf.DUMMYFUNCTION("IMPORTRANGE(""https://docs.google.com/spreadsheets/d/1MeEWN-I1oV_STSDYn1IFDPWt_1FKiwhDph83XaGc0o0/edit?usp=sharing"",""งบพรบ!CK70"")"),0)</f>
        <v>0</v>
      </c>
      <c r="N173" s="93">
        <f ca="1">IFERROR(__xludf.DUMMYFUNCTION("IMPORTRANGE(""https://docs.google.com/spreadsheets/d/1MeEWN-I1oV_STSDYn1IFDPWt_1FKiwhDph83XaGc0o0/edit?usp=sharing"",""งบพรบ!CM70"")"),0)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208200</v>
      </c>
      <c r="M181" s="155">
        <f t="shared" ca="1" si="92"/>
        <v>208200</v>
      </c>
      <c r="N181" s="155">
        <f t="shared" ca="1" si="92"/>
        <v>168222.56</v>
      </c>
      <c r="O181" s="155">
        <f t="shared" ref="O181:O189" ca="1" si="93">IF(L181&gt;0,N181*100/L181,0)</f>
        <v>80.798539865513931</v>
      </c>
      <c r="P181" s="155">
        <f t="shared" ref="P181:P189" ca="1" si="94">IF(M181&gt;0,N181*100/M181,0)</f>
        <v>80.798539865513931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208200</v>
      </c>
      <c r="M183" s="93">
        <f t="shared" ca="1" si="95"/>
        <v>208200</v>
      </c>
      <c r="N183" s="93">
        <f t="shared" ca="1" si="95"/>
        <v>168222.56</v>
      </c>
      <c r="O183" s="93">
        <f t="shared" ca="1" si="93"/>
        <v>80.798539865513931</v>
      </c>
      <c r="P183" s="93">
        <f t="shared" ca="1" si="94"/>
        <v>80.798539865513931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208200</v>
      </c>
      <c r="M184" s="497">
        <f t="shared" ca="1" si="96"/>
        <v>208200</v>
      </c>
      <c r="N184" s="497">
        <f t="shared" ca="1" si="96"/>
        <v>168222.56</v>
      </c>
      <c r="O184" s="497">
        <f t="shared" ca="1" si="93"/>
        <v>80.798539865513931</v>
      </c>
      <c r="P184" s="497">
        <f t="shared" ca="1" si="94"/>
        <v>80.798539865513931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IFERROR(__xludf.DUMMYFUNCTION("IMPORTRANGE(""https://docs.google.com/spreadsheets/d/1MeEWN-I1oV_STSDYn1IFDPWt_1FKiwhDph83XaGc0o0/edit?usp=sharing"",""งบพรบ!CO70"")"),208200)</f>
        <v>208200</v>
      </c>
      <c r="M186" s="93">
        <f ca="1">IFERROR(__xludf.DUMMYFUNCTION("IMPORTRANGE(""https://docs.google.com/spreadsheets/d/1MeEWN-I1oV_STSDYn1IFDPWt_1FKiwhDph83XaGc0o0/edit?usp=sharing"",""งบพรบ!CT70"")"),208200)</f>
        <v>208200</v>
      </c>
      <c r="N186" s="93">
        <f ca="1">IFERROR(__xludf.DUMMYFUNCTION("IMPORTRANGE(""https://docs.google.com/spreadsheets/d/1MeEWN-I1oV_STSDYn1IFDPWt_1FKiwhDph83XaGc0o0/edit?usp=sharing"",""งบพรบ!CV70"")"),168222.56)</f>
        <v>168222.56</v>
      </c>
      <c r="O186" s="93">
        <f t="shared" ca="1" si="93"/>
        <v>80.798539865513931</v>
      </c>
      <c r="P186" s="93">
        <f t="shared" ca="1" si="94"/>
        <v>80.798539865513931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IFERROR(__xludf.DUMMYFUNCTION("IMPORTRANGE(""https://docs.google.com/spreadsheets/d/1MeEWN-I1oV_STSDYn1IFDPWt_1FKiwhDph83XaGc0o0/edit?usp=sharing"",""งบพรบ!CR70"")"),0)</f>
        <v>0</v>
      </c>
      <c r="M189" s="93">
        <f ca="1">IFERROR(__xludf.DUMMYFUNCTION("IMPORTRANGE(""https://docs.google.com/spreadsheets/d/1MeEWN-I1oV_STSDYn1IFDPWt_1FKiwhDph83XaGc0o0/edit?usp=sharing"",""งบพรบ!CU70"")"),0)</f>
        <v>0</v>
      </c>
      <c r="N189" s="93">
        <f ca="1">IFERROR(__xludf.DUMMYFUNCTION("IMPORTRANGE(""https://docs.google.com/spreadsheets/d/1MeEWN-I1oV_STSDYn1IFDPWt_1FKiwhDph83XaGc0o0/edit?usp=sharing"",""งบพรบ!CW70"")"),0)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IFERROR(__xludf.DUMMYFUNCTION("IMPORTRANGE(""https://docs.google.com/spreadsheets/d/1QqKyyYR6Q21VydFLVH3TRQUabQu_ym0Zz7PgGX0-kHA/edit?usp=sharing"",""แผน!Z70"")"),6000)</f>
        <v>6000</v>
      </c>
      <c r="M191" s="155"/>
      <c r="N191" s="276">
        <v>4400</v>
      </c>
      <c r="O191" s="155">
        <f ca="1">IF(L191&gt;0,N191*100/L191,0)</f>
        <v>73.333333333333329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38980</v>
      </c>
      <c r="O198" s="155">
        <f ca="1">IF(L198&gt;0,N198*100/L198,0)</f>
        <v>99.948717948717942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IFERROR(__xludf.DUMMYFUNCTION("IMPORTRANGE(""https://docs.google.com/spreadsheets/d/1QqKyyYR6Q21VydFLVH3TRQUabQu_ym0Zz7PgGX0-kHA/edit?usp=sharing"",""แผน!AE70"")"),3000)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IFERROR(__xludf.DUMMYFUNCTION("IMPORTRANGE(""https://docs.google.com/spreadsheets/d/1QqKyyYR6Q21VydFLVH3TRQUabQu_ym0Zz7PgGX0-kHA/edit?usp=sharing"",""แผน!AF70"")"),24000)</f>
        <v>24000</v>
      </c>
      <c r="M200" s="497"/>
      <c r="N200" s="284">
        <v>23980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IFERROR(__xludf.DUMMYFUNCTION("IMPORTRANGE(""https://docs.google.com/spreadsheets/d/1QqKyyYR6Q21VydFLVH3TRQUabQu_ym0Zz7PgGX0-kHA/edit?usp=sharing"",""แผน!AG70"")"),12000)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579">
        <v>3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20000</v>
      </c>
      <c r="K216" s="273">
        <f t="shared" ca="1" si="101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18000</v>
      </c>
      <c r="M217" s="155"/>
      <c r="N217" s="155">
        <f>N218+N219+N220</f>
        <v>13000</v>
      </c>
      <c r="O217" s="155">
        <f ca="1">IF(L217&gt;0,N217*100/L217,0)</f>
        <v>72.222222222222229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IFERROR(__xludf.DUMMYFUNCTION("IMPORTRANGE(""https://docs.google.com/spreadsheets/d/1QqKyyYR6Q21VydFLVH3TRQUabQu_ym0Zz7PgGX0-kHA/edit?usp=sharing"",""แผน!AP70"")"),3000)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IFERROR(__xludf.DUMMYFUNCTION("IMPORTRANGE(""https://docs.google.com/spreadsheets/d/1QqKyyYR6Q21VydFLVH3TRQUabQu_ym0Zz7PgGX0-kHA/edit?usp=sharing"",""แผน!AQ70"")"),5000)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IFERROR(__xludf.DUMMYFUNCTION("IMPORTRANGE(""https://docs.google.com/spreadsheets/d/1QqKyyYR6Q21VydFLVH3TRQUabQu_ym0Zz7PgGX0-kHA/edit?usp=sharing"",""แผน!AR70"")"),10000)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IFERROR(__xludf.DUMMYFUNCTION("IMPORTRANGE(""https://docs.google.com/spreadsheets/d/1QqKyyYR6Q21VydFLVH3TRQUabQu_ym0Zz7PgGX0-kHA/edit?usp=sharing"",""แผน!AT70"")"),20000)</f>
        <v>20000</v>
      </c>
      <c r="J223" s="215">
        <v>20000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IFERROR(__xludf.DUMMYFUNCTION("IMPORTRANGE(""https://docs.google.com/spreadsheets/d/1QqKyyYR6Q21VydFLVH3TRQUabQu_ym0Zz7PgGX0-kHA/edit?usp=sharing"",""แผน!AT70"")"),20000)</f>
        <v>20000</v>
      </c>
      <c r="J224" s="215">
        <v>20000</v>
      </c>
      <c r="K224" s="163">
        <f t="shared" ca="1" si="103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IFERROR(__xludf.DUMMYFUNCTION("IMPORTRANGE(""https://docs.google.com/spreadsheets/d/1QqKyyYR6Q21VydFLVH3TRQUabQu_ym0Zz7PgGX0-kHA/edit?usp=sharing"",""แผน!AS70"")"),10)</f>
        <v>10</v>
      </c>
      <c r="J225" s="215">
        <v>10</v>
      </c>
      <c r="K225" s="163">
        <f t="shared" ca="1" si="103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IFERROR(__xludf.DUMMYFUNCTION("IMPORTRANGE(""https://docs.google.com/spreadsheets/d/1QqKyyYR6Q21VydFLVH3TRQUabQu_ym0Zz7PgGX0-kHA/edit?usp=sharing"",""แผน!AV70"")"),0)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IFERROR(__xludf.DUMMYFUNCTION("IMPORTRANGE(""https://docs.google.com/spreadsheets/d/1QqKyyYR6Q21VydFLVH3TRQUabQu_ym0Zz7PgGX0-kHA/edit?usp=sharing"",""แผน!AW70"")"),0)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IFERROR(__xludf.DUMMYFUNCTION("IMPORTRANGE(""https://docs.google.com/spreadsheets/d/1QqKyyYR6Q21VydFLVH3TRQUabQu_ym0Zz7PgGX0-kHA/edit?usp=sharing"",""แผน!AX70"")"),0)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IFERROR(__xludf.DUMMYFUNCTION("IMPORTRANGE(""https://docs.google.com/spreadsheets/d/1QqKyyYR6Q21VydFLVH3TRQUabQu_ym0Zz7PgGX0-kHA/edit?usp=sharing"",""แผน!AY70"")"),0)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IFERROR(__xludf.DUMMYFUNCTION("IMPORTRANGE(""https://docs.google.com/spreadsheets/d/1QqKyyYR6Q21VydFLVH3TRQUabQu_ym0Zz7PgGX0-kHA/edit?usp=sharing"",""แผน!AZ70"")"),0)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IFERROR(__xludf.DUMMYFUNCTION("IMPORTRANGE(""https://docs.google.com/spreadsheets/d/1QqKyyYR6Q21VydFLVH3TRQUabQu_ym0Zz7PgGX0-kHA/edit?usp=sharing"",""แผน!BA70"")"),0)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IFERROR(__xludf.DUMMYFUNCTION("IMPORTRANGE(""https://docs.google.com/spreadsheets/d/1QqKyyYR6Q21VydFLVH3TRQUabQu_ym0Zz7PgGX0-kHA/edit?usp=sharing"",""แผน!BB70"")"),0)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IFERROR(__xludf.DUMMYFUNCTION("IMPORTRANGE(""https://docs.google.com/spreadsheets/d/1QqKyyYR6Q21VydFLVH3TRQUabQu_ym0Zz7PgGX0-kHA/edit?usp=sharing"",""แผน!BC70"")"),0)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26900</v>
      </c>
      <c r="N261" s="155">
        <f t="shared" ca="1" si="115"/>
        <v>19400</v>
      </c>
      <c r="O261" s="155">
        <f t="shared" ref="O261:O269" ca="1" si="116">IF(L261&gt;0,N261*100/L261,0)</f>
        <v>72.118959107806688</v>
      </c>
      <c r="P261" s="155">
        <f t="shared" ref="P261:P269" ca="1" si="117">IF(M261&gt;0,N261*100/M261,0)</f>
        <v>72.118959107806688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26900</v>
      </c>
      <c r="N263" s="93">
        <f t="shared" ca="1" si="118"/>
        <v>19400</v>
      </c>
      <c r="O263" s="93">
        <f t="shared" ca="1" si="116"/>
        <v>72.118959107806688</v>
      </c>
      <c r="P263" s="93">
        <f t="shared" ca="1" si="117"/>
        <v>72.118959107806688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26900</v>
      </c>
      <c r="N264" s="497">
        <f t="shared" ca="1" si="119"/>
        <v>19400</v>
      </c>
      <c r="O264" s="497">
        <f t="shared" ca="1" si="116"/>
        <v>72.118959107806688</v>
      </c>
      <c r="P264" s="497">
        <f t="shared" ca="1" si="117"/>
        <v>72.118959107806688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IFERROR(__xludf.DUMMYFUNCTION("IMPORTRANGE(""https://docs.google.com/spreadsheets/d/1MeEWN-I1oV_STSDYn1IFDPWt_1FKiwhDph83XaGc0o0/edit?usp=sharing"",""งบพรบ!CY70"")"),26900)</f>
        <v>26900</v>
      </c>
      <c r="M266" s="93">
        <f ca="1">IFERROR(__xludf.DUMMYFUNCTION("IMPORTRANGE(""https://docs.google.com/spreadsheets/d/1MeEWN-I1oV_STSDYn1IFDPWt_1FKiwhDph83XaGc0o0/edit?usp=sharing"",""งบพรบ!DD70"")"),26900)</f>
        <v>26900</v>
      </c>
      <c r="N266" s="93">
        <f ca="1">IFERROR(__xludf.DUMMYFUNCTION("IMPORTRANGE(""https://docs.google.com/spreadsheets/d/1MeEWN-I1oV_STSDYn1IFDPWt_1FKiwhDph83XaGc0o0/edit?usp=sharing"",""งบพรบ!DF70"")"),19400)</f>
        <v>19400</v>
      </c>
      <c r="O266" s="93">
        <f t="shared" ca="1" si="116"/>
        <v>72.118959107806688</v>
      </c>
      <c r="P266" s="93">
        <f t="shared" ca="1" si="117"/>
        <v>72.118959107806688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IFERROR(__xludf.DUMMYFUNCTION("IMPORTRANGE(""https://docs.google.com/spreadsheets/d/1MeEWN-I1oV_STSDYn1IFDPWt_1FKiwhDph83XaGc0o0/edit?usp=sharing"",""งบพรบ!DB70"")"),0)</f>
        <v>0</v>
      </c>
      <c r="M269" s="93">
        <f ca="1">IFERROR(__xludf.DUMMYFUNCTION("IMPORTRANGE(""https://docs.google.com/spreadsheets/d/1MeEWN-I1oV_STSDYn1IFDPWt_1FKiwhDph83XaGc0o0/edit?usp=sharing"",""งบพรบ!DE70"")"),0)</f>
        <v>0</v>
      </c>
      <c r="N269" s="93">
        <f ca="1">IFERROR(__xludf.DUMMYFUNCTION("IMPORTRANGE(""https://docs.google.com/spreadsheets/d/1MeEWN-I1oV_STSDYn1IFDPWt_1FKiwhDph83XaGc0o0/edit?usp=sharing"",""งบพรบ!DG70"")"),0)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IFERROR(__xludf.DUMMYFUNCTION("IMPORTRANGE(""https://docs.google.com/spreadsheets/d/1MeEWN-I1oV_STSDYn1IFDPWt_1FKiwhDph83XaGc0o0/edit?usp=sharing"",""งบพรบ!DI70"")"),0)</f>
        <v>0</v>
      </c>
      <c r="M282" s="93">
        <f ca="1">IFERROR(__xludf.DUMMYFUNCTION("IMPORTRANGE(""https://docs.google.com/spreadsheets/d/1MeEWN-I1oV_STSDYn1IFDPWt_1FKiwhDph83XaGc0o0/edit?usp=sharing"",""งบพรบ!DN70"")"),0)</f>
        <v>0</v>
      </c>
      <c r="N282" s="93">
        <f ca="1">IFERROR(__xludf.DUMMYFUNCTION("IMPORTRANGE(""https://docs.google.com/spreadsheets/d/1MeEWN-I1oV_STSDYn1IFDPWt_1FKiwhDph83XaGc0o0/edit?usp=sharing"",""งบพรบ!DP70"")"),0)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IFERROR(__xludf.DUMMYFUNCTION("IMPORTRANGE(""https://docs.google.com/spreadsheets/d/1MeEWN-I1oV_STSDYn1IFDPWt_1FKiwhDph83XaGc0o0/edit?usp=sharing"",""งบพรบ!DL70"")"),0)</f>
        <v>0</v>
      </c>
      <c r="M285" s="93">
        <f ca="1">IFERROR(__xludf.DUMMYFUNCTION("IMPORTRANGE(""https://docs.google.com/spreadsheets/d/1MeEWN-I1oV_STSDYn1IFDPWt_1FKiwhDph83XaGc0o0/edit?usp=sharing"",""งบพรบ!DO70"")"),0)</f>
        <v>0</v>
      </c>
      <c r="N285" s="93">
        <f ca="1">IFERROR(__xludf.DUMMYFUNCTION("IMPORTRANGE(""https://docs.google.com/spreadsheets/d/1MeEWN-I1oV_STSDYn1IFDPWt_1FKiwhDph83XaGc0o0/edit?usp=sharing"",""งบพรบ!DQ70"")"),0)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25</v>
      </c>
      <c r="J297" s="444">
        <f t="shared" si="133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244000</v>
      </c>
      <c r="M298" s="155">
        <f t="shared" ca="1" si="134"/>
        <v>244000</v>
      </c>
      <c r="N298" s="155">
        <f t="shared" ca="1" si="134"/>
        <v>180528</v>
      </c>
      <c r="O298" s="155">
        <f t="shared" ref="O298:O306" ca="1" si="135">IF(L298&gt;0,N298*100/L298,0)</f>
        <v>73.986885245901632</v>
      </c>
      <c r="P298" s="155">
        <f t="shared" ref="P298:P306" ca="1" si="136">IF(M298&gt;0,N298*100/M298,0)</f>
        <v>73.986885245901632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244000</v>
      </c>
      <c r="M300" s="93">
        <f t="shared" ca="1" si="137"/>
        <v>244000</v>
      </c>
      <c r="N300" s="93">
        <f t="shared" ca="1" si="137"/>
        <v>180528</v>
      </c>
      <c r="O300" s="93">
        <f t="shared" ca="1" si="135"/>
        <v>73.986885245901632</v>
      </c>
      <c r="P300" s="93">
        <f t="shared" ca="1" si="136"/>
        <v>73.986885245901632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244000</v>
      </c>
      <c r="M301" s="497">
        <f t="shared" ca="1" si="138"/>
        <v>244000</v>
      </c>
      <c r="N301" s="497">
        <f t="shared" ca="1" si="138"/>
        <v>180528</v>
      </c>
      <c r="O301" s="497">
        <f t="shared" ca="1" si="135"/>
        <v>73.986885245901632</v>
      </c>
      <c r="P301" s="497">
        <f t="shared" ca="1" si="136"/>
        <v>73.986885245901632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IFERROR(__xludf.DUMMYFUNCTION("IMPORTRANGE(""https://docs.google.com/spreadsheets/d/1MeEWN-I1oV_STSDYn1IFDPWt_1FKiwhDph83XaGc0o0/edit?usp=sharing"",""งบพรบ!DS70"")"),244000)</f>
        <v>244000</v>
      </c>
      <c r="M303" s="93">
        <f ca="1">IFERROR(__xludf.DUMMYFUNCTION("IMPORTRANGE(""https://docs.google.com/spreadsheets/d/1MeEWN-I1oV_STSDYn1IFDPWt_1FKiwhDph83XaGc0o0/edit?usp=sharing"",""งบพรบ!DX70"")"),244000)</f>
        <v>244000</v>
      </c>
      <c r="N303" s="93">
        <f ca="1">IFERROR(__xludf.DUMMYFUNCTION("IMPORTRANGE(""https://docs.google.com/spreadsheets/d/1MeEWN-I1oV_STSDYn1IFDPWt_1FKiwhDph83XaGc0o0/edit?usp=sharing"",""งบพรบ!DZ70"")"),180528)</f>
        <v>180528</v>
      </c>
      <c r="O303" s="93">
        <f t="shared" ca="1" si="135"/>
        <v>73.986885245901632</v>
      </c>
      <c r="P303" s="93">
        <f t="shared" ca="1" si="136"/>
        <v>73.986885245901632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IFERROR(__xludf.DUMMYFUNCTION("IMPORTRANGE(""https://docs.google.com/spreadsheets/d/1MeEWN-I1oV_STSDYn1IFDPWt_1FKiwhDph83XaGc0o0/edit?usp=sharing"",""งบพรบ!DV70"")"),0)</f>
        <v>0</v>
      </c>
      <c r="M306" s="93">
        <f ca="1">IFERROR(__xludf.DUMMYFUNCTION("IMPORTRANGE(""https://docs.google.com/spreadsheets/d/1MeEWN-I1oV_STSDYn1IFDPWt_1FKiwhDph83XaGc0o0/edit?usp=sharing"",""งบพรบ!DY70"")"),0)</f>
        <v>0</v>
      </c>
      <c r="N306" s="93">
        <f ca="1">IFERROR(__xludf.DUMMYFUNCTION("IMPORTRANGE(""https://docs.google.com/spreadsheets/d/1MeEWN-I1oV_STSDYn1IFDPWt_1FKiwhDph83XaGc0o0/edit?usp=sharing"",""งบพรบ!EA70"")"),0)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IFERROR(__xludf.DUMMYFUNCTION("IMPORTRANGE(""https://docs.google.com/spreadsheets/d/1QqKyyYR6Q21VydFLVH3TRQUabQu_ym0Zz7PgGX0-kHA/edit?usp=sharing"",""แผน!ED70"")"),25)</f>
        <v>25</v>
      </c>
      <c r="J309" s="215">
        <v>25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IFERROR(__xludf.DUMMYFUNCTION("IMPORTRANGE(""https://docs.google.com/spreadsheets/d/1QqKyyYR6Q21VydFLVH3TRQUabQu_ym0Zz7PgGX0-kHA/edit?usp=sharing"",""แผน!ED70"")"),25)</f>
        <v>25</v>
      </c>
      <c r="J310" s="215">
        <v>25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IFERROR(__xludf.DUMMYFUNCTION("IMPORTRANGE(""https://docs.google.com/spreadsheets/d/1QqKyyYR6Q21VydFLVH3TRQUabQu_ym0Zz7PgGX0-kHA/edit?usp=sharing"",""แผน!ED70"")"),25)</f>
        <v>25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IFERROR(__xludf.DUMMYFUNCTION("IMPORTRANGE(""https://docs.google.com/spreadsheets/d/1QqKyyYR6Q21VydFLVH3TRQUabQu_ym0Zz7PgGX0-kHA/edit?usp=sharing"",""แผน!EE70"")"),5)</f>
        <v>5</v>
      </c>
      <c r="J312" s="215">
        <v>5</v>
      </c>
      <c r="K312" s="497">
        <f t="shared" ca="1" si="140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IFERROR(__xludf.DUMMYFUNCTION("IMPORTRANGE(""https://docs.google.com/spreadsheets/d/1MeEWN-I1oV_STSDYn1IFDPWt_1FKiwhDph83XaGc0o0/edit?usp=sharing"",""งบพรบ!EC70"")"),0)</f>
        <v>0</v>
      </c>
      <c r="M320" s="93">
        <f ca="1">IFERROR(__xludf.DUMMYFUNCTION("IMPORTRANGE(""https://docs.google.com/spreadsheets/d/1MeEWN-I1oV_STSDYn1IFDPWt_1FKiwhDph83XaGc0o0/edit?usp=sharing"",""งบพรบ!EH70"")"),0)</f>
        <v>0</v>
      </c>
      <c r="N320" s="93">
        <f ca="1">IFERROR(__xludf.DUMMYFUNCTION("IMPORTRANGE(""https://docs.google.com/spreadsheets/d/1MeEWN-I1oV_STSDYn1IFDPWt_1FKiwhDph83XaGc0o0/edit?usp=sharing"",""งบพรบ!EJ70"")"),0)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IFERROR(__xludf.DUMMYFUNCTION("IMPORTRANGE(""https://docs.google.com/spreadsheets/d/1MeEWN-I1oV_STSDYn1IFDPWt_1FKiwhDph83XaGc0o0/edit?usp=sharing"",""งบพรบ!EF70"")"),0)</f>
        <v>0</v>
      </c>
      <c r="M323" s="93">
        <f ca="1">IFERROR(__xludf.DUMMYFUNCTION("IMPORTRANGE(""https://docs.google.com/spreadsheets/d/1MeEWN-I1oV_STSDYn1IFDPWt_1FKiwhDph83XaGc0o0/edit?usp=sharing"",""งบพรบ!EI70"")"),0)</f>
        <v>0</v>
      </c>
      <c r="N323" s="93">
        <f ca="1">IFERROR(__xludf.DUMMYFUNCTION("IMPORTRANGE(""https://docs.google.com/spreadsheets/d/1MeEWN-I1oV_STSDYn1IFDPWt_1FKiwhDph83XaGc0o0/edit?usp=sharing"",""งบพรบ!EK70"")"),0)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IFERROR(__xludf.DUMMYFUNCTION("IMPORTRANGE(""https://docs.google.com/spreadsheets/d/1QqKyyYR6Q21VydFLVH3TRQUabQu_ym0Zz7PgGX0-kHA/edit?usp=sharing"",""แผน!EG70"")"),1500)</f>
        <v>1500</v>
      </c>
      <c r="J327" s="444">
        <f ca="1">J338+J341+J342+J343</f>
        <v>2151</v>
      </c>
      <c r="K327" s="445">
        <f ca="1">IF(I327&gt;0,J327*100/I327,0)</f>
        <v>143.4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426800</v>
      </c>
      <c r="M328" s="155">
        <f t="shared" ca="1" si="148"/>
        <v>429300</v>
      </c>
      <c r="N328" s="155">
        <f t="shared" ca="1" si="148"/>
        <v>295631.34999999998</v>
      </c>
      <c r="O328" s="155">
        <f t="shared" ref="O328:O336" ca="1" si="149">IF(L328&gt;0,N328*100/L328,0)</f>
        <v>69.266951733833167</v>
      </c>
      <c r="P328" s="155">
        <f t="shared" ref="P328:P336" ca="1" si="150">IF(M328&gt;0,N328*100/M328,0)</f>
        <v>68.863580246913571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426800</v>
      </c>
      <c r="M330" s="93">
        <f t="shared" ca="1" si="151"/>
        <v>429300</v>
      </c>
      <c r="N330" s="93">
        <f t="shared" ca="1" si="151"/>
        <v>295631.34999999998</v>
      </c>
      <c r="O330" s="93">
        <f t="shared" ca="1" si="149"/>
        <v>69.266951733833167</v>
      </c>
      <c r="P330" s="93">
        <f t="shared" ca="1" si="150"/>
        <v>68.863580246913571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426800</v>
      </c>
      <c r="M331" s="497">
        <f t="shared" ca="1" si="152"/>
        <v>429300</v>
      </c>
      <c r="N331" s="497">
        <f t="shared" ca="1" si="152"/>
        <v>295631.34999999998</v>
      </c>
      <c r="O331" s="497">
        <f t="shared" ca="1" si="149"/>
        <v>69.266951733833167</v>
      </c>
      <c r="P331" s="497">
        <f t="shared" ca="1" si="150"/>
        <v>68.863580246913571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IFERROR(__xludf.DUMMYFUNCTION("IMPORTRANGE(""https://docs.google.com/spreadsheets/d/1MeEWN-I1oV_STSDYn1IFDPWt_1FKiwhDph83XaGc0o0/edit?usp=sharing"",""งบพรบ!EM70"")"),426800)</f>
        <v>426800</v>
      </c>
      <c r="M333" s="93">
        <f ca="1">IFERROR(__xludf.DUMMYFUNCTION("IMPORTRANGE(""https://docs.google.com/spreadsheets/d/1MeEWN-I1oV_STSDYn1IFDPWt_1FKiwhDph83XaGc0o0/edit?usp=sharing"",""งบพรบ!ER70"")"),429300)</f>
        <v>429300</v>
      </c>
      <c r="N333" s="93">
        <f ca="1">IFERROR(__xludf.DUMMYFUNCTION("IMPORTRANGE(""https://docs.google.com/spreadsheets/d/1MeEWN-I1oV_STSDYn1IFDPWt_1FKiwhDph83XaGc0o0/edit?usp=sharing"",""งบพรบ!ET70"")"),295631.35)</f>
        <v>295631.34999999998</v>
      </c>
      <c r="O333" s="93">
        <f t="shared" ca="1" si="149"/>
        <v>69.266951733833167</v>
      </c>
      <c r="P333" s="93">
        <f t="shared" ca="1" si="150"/>
        <v>68.863580246913571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IFERROR(__xludf.DUMMYFUNCTION("IMPORTRANGE(""https://docs.google.com/spreadsheets/d/1MeEWN-I1oV_STSDYn1IFDPWt_1FKiwhDph83XaGc0o0/edit?usp=sharing"",""งบพรบ!EP70"")"),0)</f>
        <v>0</v>
      </c>
      <c r="M336" s="93">
        <f ca="1">IFERROR(__xludf.DUMMYFUNCTION("IMPORTRANGE(""https://docs.google.com/spreadsheets/d/1MeEWN-I1oV_STSDYn1IFDPWt_1FKiwhDph83XaGc0o0/edit?usp=sharing"",""งบพรบ!ES70"")"),0)</f>
        <v>0</v>
      </c>
      <c r="N336" s="93">
        <f ca="1">IFERROR(__xludf.DUMMYFUNCTION("IMPORTRANGE(""https://docs.google.com/spreadsheets/d/1MeEWN-I1oV_STSDYn1IFDPWt_1FKiwhDph83XaGc0o0/edit?usp=sharing"",""งบพรบ!EU70"")"),0)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IFERROR(__xludf.DUMMYFUNCTION("IMPORTRANGE(""https://docs.google.com/spreadsheets/d/1QqKyyYR6Q21VydFLVH3TRQUabQu_ym0Zz7PgGX0-kHA/edit?usp=sharing"",""แผน!EG70"")"),1500)</f>
        <v>1500</v>
      </c>
      <c r="J338" s="270">
        <f ca="1">IFERROR(__xludf.DUMMYFUNCTION("IMPORTRANGE(""https://docs.google.com/spreadsheets/d/1kVcqe37tkHyjCSG3S0O1AXqVkqjo8mSIZil3BcpIysc/edit?usp=sharing"",""ศูนย์!D70"")"),1815)</f>
        <v>1815</v>
      </c>
      <c r="K338" s="497">
        <f ca="1">IF(I338&gt;0,J338*100/I338,0)</f>
        <v>121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IFERROR(__xludf.DUMMYFUNCTION("IMPORTRANGE(""https://docs.google.com/spreadsheets/d/1QqKyyYR6Q21VydFLVH3TRQUabQu_ym0Zz7PgGX0-kHA/edit?usp=sharing"",""แผน!EH70"")"),3)</f>
        <v>3</v>
      </c>
      <c r="J340" s="270">
        <f ca="1">IFERROR(__xludf.DUMMYFUNCTION("IMPORTRANGE(""https://docs.google.com/spreadsheets/d/1kVcqe37tkHyjCSG3S0O1AXqVkqjo8mSIZil3BcpIysc/edit?usp=sharing"",""ศูนย์!E70"")"),3)</f>
        <v>3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IFERROR(__xludf.DUMMYFUNCTION("IMPORTRANGE(""https://docs.google.com/spreadsheets/d/1kVcqe37tkHyjCSG3S0O1AXqVkqjo8mSIZil3BcpIysc/edit?usp=sharing"",""ศูนย์!F70"")"),336)</f>
        <v>336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790000</v>
      </c>
      <c r="M345" s="155">
        <f t="shared" ca="1" si="154"/>
        <v>790000</v>
      </c>
      <c r="N345" s="155">
        <f t="shared" ca="1" si="154"/>
        <v>570172.9</v>
      </c>
      <c r="O345" s="155">
        <f t="shared" ref="O345:O353" ca="1" si="155">IF(L345&gt;0,N345*100/L345,0)</f>
        <v>72.173784810126577</v>
      </c>
      <c r="P345" s="155">
        <f t="shared" ref="P345:P353" ca="1" si="156">IF(M345&gt;0,N345*100/M345,0)</f>
        <v>72.173784810126577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790000</v>
      </c>
      <c r="M347" s="93">
        <f t="shared" ca="1" si="157"/>
        <v>790000</v>
      </c>
      <c r="N347" s="93">
        <f t="shared" ca="1" si="157"/>
        <v>570172.9</v>
      </c>
      <c r="O347" s="93">
        <f t="shared" ca="1" si="155"/>
        <v>72.173784810126577</v>
      </c>
      <c r="P347" s="93">
        <f t="shared" ca="1" si="156"/>
        <v>72.173784810126577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676200</v>
      </c>
      <c r="M348" s="497">
        <f t="shared" ca="1" si="158"/>
        <v>676200</v>
      </c>
      <c r="N348" s="497">
        <f t="shared" ca="1" si="158"/>
        <v>456372.9</v>
      </c>
      <c r="O348" s="497">
        <f t="shared" ca="1" si="155"/>
        <v>67.490816326530606</v>
      </c>
      <c r="P348" s="497">
        <f t="shared" ca="1" si="156"/>
        <v>67.490816326530606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IFERROR(__xludf.DUMMYFUNCTION("IMPORTRANGE(""https://docs.google.com/spreadsheets/d/1MeEWN-I1oV_STSDYn1IFDPWt_1FKiwhDph83XaGc0o0/edit?usp=sharing"",""งบพรบ!EW70"")"),676200)</f>
        <v>676200</v>
      </c>
      <c r="M350" s="93">
        <f ca="1">IFERROR(__xludf.DUMMYFUNCTION("IMPORTRANGE(""https://docs.google.com/spreadsheets/d/1MeEWN-I1oV_STSDYn1IFDPWt_1FKiwhDph83XaGc0o0/edit?usp=sharing"",""งบพรบ!FB70"")"),676200)</f>
        <v>676200</v>
      </c>
      <c r="N350" s="93">
        <f ca="1">IFERROR(__xludf.DUMMYFUNCTION("IMPORTRANGE(""https://docs.google.com/spreadsheets/d/1MeEWN-I1oV_STSDYn1IFDPWt_1FKiwhDph83XaGc0o0/edit?usp=sharing"",""งบพรบ!FD70"")"),456372.9)</f>
        <v>456372.9</v>
      </c>
      <c r="O350" s="93">
        <f t="shared" ca="1" si="155"/>
        <v>67.490816326530606</v>
      </c>
      <c r="P350" s="93">
        <f t="shared" ca="1" si="156"/>
        <v>67.490816326530606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113800</v>
      </c>
      <c r="M351" s="497">
        <f t="shared" ca="1" si="159"/>
        <v>113800</v>
      </c>
      <c r="N351" s="497">
        <f t="shared" ca="1" si="159"/>
        <v>113800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IFERROR(__xludf.DUMMYFUNCTION("IMPORTRANGE(""https://docs.google.com/spreadsheets/d/1MeEWN-I1oV_STSDYn1IFDPWt_1FKiwhDph83XaGc0o0/edit?usp=sharing"",""งบพรบ!EZ70"")"),113800)</f>
        <v>113800</v>
      </c>
      <c r="M353" s="93">
        <f ca="1">IFERROR(__xludf.DUMMYFUNCTION("IMPORTRANGE(""https://docs.google.com/spreadsheets/d/1MeEWN-I1oV_STSDYn1IFDPWt_1FKiwhDph83XaGc0o0/edit?usp=sharing"",""งบพรบ!FC70"")"),113800)</f>
        <v>113800</v>
      </c>
      <c r="N353" s="93">
        <f ca="1">IFERROR(__xludf.DUMMYFUNCTION("IMPORTRANGE(""https://docs.google.com/spreadsheets/d/1MeEWN-I1oV_STSDYn1IFDPWt_1FKiwhDph83XaGc0o0/edit?usp=sharing"",""งบพรบ!FE70"")"),113800)</f>
        <v>113800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IFERROR(__xludf.DUMMYFUNCTION("IMPORTRANGE(""https://docs.google.com/spreadsheets/d/1QqKyyYR6Q21VydFLVH3TRQUabQu_ym0Zz7PgGX0-kHA/edit?usp=sharing"",""แผน!EP70"")"),268)</f>
        <v>268</v>
      </c>
      <c r="J355" s="464">
        <f ca="1">J362</f>
        <v>29</v>
      </c>
      <c r="K355" s="465">
        <f ca="1">IF(I355&gt;0,J355*100/I355,0)</f>
        <v>10.82089552238806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IFERROR(__xludf.DUMMYFUNCTION("IMPORTRANGE(""https://docs.google.com/spreadsheets/d/1XWAQStnk-4SwqDmLtmXYiTMKHgktTP8We1SCoS47DrQ/edit?usp=sharing"",""จัดที่ดิน!W70"")"),91)</f>
        <v>91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IFERROR(__xludf.DUMMYFUNCTION("IMPORTRANGE(""https://docs.google.com/spreadsheets/d/1QqKyyYR6Q21VydFLVH3TRQUabQu_ym0Zz7PgGX0-kHA/edit?usp=sharing"",""แผน!EO70"")"),2838)</f>
        <v>2838</v>
      </c>
      <c r="J359" s="270">
        <f ca="1">IFERROR(__xludf.DUMMYFUNCTION("IMPORTRANGE(""https://docs.google.com/spreadsheets/d/1XWAQStnk-4SwqDmLtmXYiTMKHgktTP8We1SCoS47DrQ/edit?usp=sharing"",""จัดที่ดิน!X70"")"),665.04)</f>
        <v>665.04</v>
      </c>
      <c r="K359" s="497">
        <f t="shared" ca="1" si="160"/>
        <v>23.43340380549683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IFERROR(__xludf.DUMMYFUNCTION("IMPORTRANGE(""https://docs.google.com/spreadsheets/d/1QqKyyYR6Q21VydFLVH3TRQUabQu_ym0Zz7PgGX0-kHA/edit?usp=sharing"",""แผน!EP70"")"),268)</f>
        <v>268</v>
      </c>
      <c r="J360" s="270">
        <f ca="1">IFERROR(__xludf.DUMMYFUNCTION("IMPORTRANGE(""https://docs.google.com/spreadsheets/d/1XWAQStnk-4SwqDmLtmXYiTMKHgktTP8We1SCoS47DrQ/edit?usp=sharing"",""จัดที่ดิน!Y70"")"),28)</f>
        <v>28</v>
      </c>
      <c r="K360" s="497">
        <f t="shared" ca="1" si="160"/>
        <v>10.447761194029852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IFERROR(__xludf.DUMMYFUNCTION("IMPORTRANGE(""https://docs.google.com/spreadsheets/d/1XWAQStnk-4SwqDmLtmXYiTMKHgktTP8We1SCoS47DrQ/edit?usp=sharing"",""จัดที่ดิน!Z70"")"),241.93)</f>
        <v>241.93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IFERROR(__xludf.DUMMYFUNCTION("IMPORTRANGE(""https://docs.google.com/spreadsheets/d/1QqKyyYR6Q21VydFLVH3TRQUabQu_ym0Zz7PgGX0-kHA/edit?usp=sharing"",""แผน!EP70"")"),268)</f>
        <v>268</v>
      </c>
      <c r="J362" s="270">
        <f ca="1">IFERROR(__xludf.DUMMYFUNCTION("IMPORTRANGE(""https://docs.google.com/spreadsheets/d/1XWAQStnk-4SwqDmLtmXYiTMKHgktTP8We1SCoS47DrQ/edit?usp=sharing"",""จัดที่ดิน!AA70"")"),29)</f>
        <v>29</v>
      </c>
      <c r="K362" s="497">
        <f t="shared" ca="1" si="160"/>
        <v>10.82089552238806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IFERROR(__xludf.DUMMYFUNCTION("IMPORTRANGE(""https://docs.google.com/spreadsheets/d/1XWAQStnk-4SwqDmLtmXYiTMKHgktTP8We1SCoS47DrQ/edit?usp=sharing"",""จัดที่ดิน!AB70"")"),250.66)</f>
        <v>250.66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398</v>
      </c>
      <c r="J364" s="478">
        <f t="shared" ca="1" si="161"/>
        <v>182</v>
      </c>
      <c r="K364" s="479">
        <f t="shared" ca="1" si="160"/>
        <v>45.7286432160804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IFERROR(__xludf.DUMMYFUNCTION("IMPORTRANGE(""https://docs.google.com/spreadsheets/d/1QqKyyYR6Q21VydFLVH3TRQUabQu_ym0Zz7PgGX0-kHA/edit?usp=sharing"",""แผน!EJ70"")"),30)</f>
        <v>30</v>
      </c>
      <c r="J365" s="490">
        <f ca="1">J372</f>
        <v>27</v>
      </c>
      <c r="K365" s="491">
        <f t="shared" ca="1" si="160"/>
        <v>90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IFERROR(__xludf.DUMMYFUNCTION("IMPORTRANGE(""https://docs.google.com/spreadsheets/d/1XWAQStnk-4SwqDmLtmXYiTMKHgktTP8We1SCoS47DrQ/edit?usp=sharing"",""จัดที่ดิน!E70"")"),78)</f>
        <v>78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IFERROR(__xludf.DUMMYFUNCTION("IMPORTRANGE(""https://docs.google.com/spreadsheets/d/1QqKyyYR6Q21VydFLVH3TRQUabQu_ym0Zz7PgGX0-kHA/edit?usp=sharing"",""แผน!EI70"")"),500)</f>
        <v>500</v>
      </c>
      <c r="J369" s="270">
        <f ca="1">IFERROR(__xludf.DUMMYFUNCTION("IMPORTRANGE(""https://docs.google.com/spreadsheets/d/1XWAQStnk-4SwqDmLtmXYiTMKHgktTP8We1SCoS47DrQ/edit?usp=sharing"",""จัดที่ดิน!F70"")"),547.56)</f>
        <v>547.55999999999995</v>
      </c>
      <c r="K369" s="497">
        <f t="shared" ca="1" si="162"/>
        <v>109.51199999999999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IFERROR(__xludf.DUMMYFUNCTION("IMPORTRANGE(""https://docs.google.com/spreadsheets/d/1QqKyyYR6Q21VydFLVH3TRQUabQu_ym0Zz7PgGX0-kHA/edit?usp=sharing"",""แผน!EJ70"")"),30)</f>
        <v>30</v>
      </c>
      <c r="J370" s="270">
        <f ca="1">IFERROR(__xludf.DUMMYFUNCTION("IMPORTRANGE(""https://docs.google.com/spreadsheets/d/1XWAQStnk-4SwqDmLtmXYiTMKHgktTP8We1SCoS47DrQ/edit?usp=sharing"",""จัดที่ดิน!G70"")"),27)</f>
        <v>27</v>
      </c>
      <c r="K370" s="497">
        <f t="shared" ca="1" si="162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IFERROR(__xludf.DUMMYFUNCTION("IMPORTRANGE(""https://docs.google.com/spreadsheets/d/1XWAQStnk-4SwqDmLtmXYiTMKHgktTP8We1SCoS47DrQ/edit?usp=sharing"",""จัดที่ดิน!H70"")"),231.91)</f>
        <v>231.91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IFERROR(__xludf.DUMMYFUNCTION("IMPORTRANGE(""https://docs.google.com/spreadsheets/d/1QqKyyYR6Q21VydFLVH3TRQUabQu_ym0Zz7PgGX0-kHA/edit?usp=sharing"",""แผน!EJ70"")"),30)</f>
        <v>30</v>
      </c>
      <c r="J372" s="270">
        <f ca="1">IFERROR(__xludf.DUMMYFUNCTION("IMPORTRANGE(""https://docs.google.com/spreadsheets/d/1XWAQStnk-4SwqDmLtmXYiTMKHgktTP8We1SCoS47DrQ/edit?usp=sharing"",""จัดที่ดิน!I70"")"),27)</f>
        <v>27</v>
      </c>
      <c r="K372" s="497">
        <f t="shared" ca="1" si="162"/>
        <v>90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IFERROR(__xludf.DUMMYFUNCTION("IMPORTRANGE(""https://docs.google.com/spreadsheets/d/1XWAQStnk-4SwqDmLtmXYiTMKHgktTP8We1SCoS47DrQ/edit?usp=sharing"",""จัดที่ดิน!J70"")"),231.91)</f>
        <v>231.91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IFERROR(__xludf.DUMMYFUNCTION("IMPORTRANGE(""https://docs.google.com/spreadsheets/d/1QqKyyYR6Q21VydFLVH3TRQUabQu_ym0Zz7PgGX0-kHA/edit?usp=sharing"",""แผน!EU70"")"),368)</f>
        <v>368</v>
      </c>
      <c r="J374" s="490">
        <f ca="1">J381</f>
        <v>155</v>
      </c>
      <c r="K374" s="491">
        <f t="shared" ca="1" si="162"/>
        <v>42.119565217391305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IFERROR(__xludf.DUMMYFUNCTION("IMPORTRANGE(""https://docs.google.com/spreadsheets/d/1XWAQStnk-4SwqDmLtmXYiTMKHgktTP8We1SCoS47DrQ/edit?usp=sharing"",""จัดที่ดิน!AH70"")"),13)</f>
        <v>13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IFERROR(__xludf.DUMMYFUNCTION("IMPORTRANGE(""https://docs.google.com/spreadsheets/d/1QqKyyYR6Q21VydFLVH3TRQUabQu_ym0Zz7PgGX0-kHA/edit?usp=sharing"",""แผน!ET70"")"),2338)</f>
        <v>2338</v>
      </c>
      <c r="J378" s="270">
        <f ca="1">IFERROR(__xludf.DUMMYFUNCTION("IMPORTRANGE(""https://docs.google.com/spreadsheets/d/1XWAQStnk-4SwqDmLtmXYiTMKHgktTP8We1SCoS47DrQ/edit?usp=sharing"",""จัดที่ดิน!AI70"")"),117.48)</f>
        <v>117.48</v>
      </c>
      <c r="K378" s="497">
        <f t="shared" ca="1" si="163"/>
        <v>5.0248075278015394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IFERROR(__xludf.DUMMYFUNCTION("IMPORTRANGE(""https://docs.google.com/spreadsheets/d/1QqKyyYR6Q21VydFLVH3TRQUabQu_ym0Zz7PgGX0-kHA/edit?usp=sharing"",""แผน!EU70"")"),368)</f>
        <v>368</v>
      </c>
      <c r="J379" s="270">
        <f ca="1">IFERROR(__xludf.DUMMYFUNCTION("IMPORTRANGE(""https://docs.google.com/spreadsheets/d/1XWAQStnk-4SwqDmLtmXYiTMKHgktTP8We1SCoS47DrQ/edit?usp=sharing"",""จัดที่ดิน!AJ70"")"),154)</f>
        <v>154</v>
      </c>
      <c r="K379" s="497">
        <f t="shared" ca="1" si="163"/>
        <v>41.847826086956523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IFERROR(__xludf.DUMMYFUNCTION("IMPORTRANGE(""https://docs.google.com/spreadsheets/d/1XWAQStnk-4SwqDmLtmXYiTMKHgktTP8We1SCoS47DrQ/edit?usp=sharing"",""จัดที่ดิน!AK70"")"),2338.2)</f>
        <v>2338.1999999999998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IFERROR(__xludf.DUMMYFUNCTION("IMPORTRANGE(""https://docs.google.com/spreadsheets/d/1QqKyyYR6Q21VydFLVH3TRQUabQu_ym0Zz7PgGX0-kHA/edit?usp=sharing"",""แผน!EU70"")"),368)</f>
        <v>368</v>
      </c>
      <c r="J381" s="270">
        <f ca="1">IFERROR(__xludf.DUMMYFUNCTION("IMPORTRANGE(""https://docs.google.com/spreadsheets/d/1XWAQStnk-4SwqDmLtmXYiTMKHgktTP8We1SCoS47DrQ/edit?usp=sharing"",""จัดที่ดิน!AL70"")"),155)</f>
        <v>155</v>
      </c>
      <c r="K381" s="497">
        <f t="shared" ca="1" si="163"/>
        <v>42.119565217391305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IFERROR(__xludf.DUMMYFUNCTION("IMPORTRANGE(""https://docs.google.com/spreadsheets/d/1XWAQStnk-4SwqDmLtmXYiTMKHgktTP8We1SCoS47DrQ/edit?usp=sharing"",""จัดที่ดิน!AM70"")"),2346.93)</f>
        <v>2346.9299999999998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357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IFERROR(__xludf.DUMMYFUNCTION("IMPORTRANGE(""https://docs.google.com/spreadsheets/d/1QqKyyYR6Q21VydFLVH3TRQUabQu_ym0Zz7PgGX0-kHA/edit?usp=sharing"",""แผน!EW70"")"),0)</f>
        <v>0</v>
      </c>
      <c r="J385" s="501">
        <f ca="1">IFERROR(__xludf.DUMMYFUNCTION("IMPORTRANGE(""https://docs.google.com/spreadsheets/d/1XWAQStnk-4SwqDmLtmXYiTMKHgktTP8We1SCoS47DrQ/edit?usp=sharing"",""จัดที่ดิน!AP70"")"),12)</f>
        <v>12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IFERROR(__xludf.DUMMYFUNCTION("IMPORTRANGE(""https://docs.google.com/spreadsheets/d/1MeEWN-I1oV_STSDYn1IFDPWt_1FKiwhDph83XaGc0o0/edit?usp=sharing"",""งบพรบ!FG70"")"),0)</f>
        <v>0</v>
      </c>
      <c r="M394" s="93">
        <f ca="1">IFERROR(__xludf.DUMMYFUNCTION("IMPORTRANGE(""https://docs.google.com/spreadsheets/d/1MeEWN-I1oV_STSDYn1IFDPWt_1FKiwhDph83XaGc0o0/edit?usp=sharing"",""งบพรบ!FL70"")"),0)</f>
        <v>0</v>
      </c>
      <c r="N394" s="93">
        <f ca="1">IFERROR(__xludf.DUMMYFUNCTION("IMPORTRANGE(""https://docs.google.com/spreadsheets/d/1MeEWN-I1oV_STSDYn1IFDPWt_1FKiwhDph83XaGc0o0/edit?usp=sharing"",""งบพรบ!FN70"")"),0)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IFERROR(__xludf.DUMMYFUNCTION("IMPORTRANGE(""https://docs.google.com/spreadsheets/d/1MeEWN-I1oV_STSDYn1IFDPWt_1FKiwhDph83XaGc0o0/edit?usp=sharing"",""งบพรบ!FJ70"")"),0)</f>
        <v>0</v>
      </c>
      <c r="M397" s="93">
        <f ca="1">IFERROR(__xludf.DUMMYFUNCTION("IMPORTRANGE(""https://docs.google.com/spreadsheets/d/1MeEWN-I1oV_STSDYn1IFDPWt_1FKiwhDph83XaGc0o0/edit?usp=sharing"",""งบพรบ!FM70"")"),0)</f>
        <v>0</v>
      </c>
      <c r="N397" s="93">
        <f ca="1">IFERROR(__xludf.DUMMYFUNCTION("IMPORTRANGE(""https://docs.google.com/spreadsheets/d/1MeEWN-I1oV_STSDYn1IFDPWt_1FKiwhDph83XaGc0o0/edit?usp=sharing"",""งบพรบ!FO70"")"),0)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IFERROR(__xludf.DUMMYFUNCTION("IMPORTRANGE(""https://docs.google.com/spreadsheets/d/1MeEWN-I1oV_STSDYn1IFDPWt_1FKiwhDph83XaGc0o0/edit?usp=sharing"",""งบพรบ!FQ70"")"),0)</f>
        <v>0</v>
      </c>
      <c r="M407" s="93">
        <f ca="1">IFERROR(__xludf.DUMMYFUNCTION("IMPORTRANGE(""https://docs.google.com/spreadsheets/d/1MeEWN-I1oV_STSDYn1IFDPWt_1FKiwhDph83XaGc0o0/edit?usp=sharing"",""งบพรบ!FV70"")"),0)</f>
        <v>0</v>
      </c>
      <c r="N407" s="93">
        <f ca="1">IFERROR(__xludf.DUMMYFUNCTION("IMPORTRANGE(""https://docs.google.com/spreadsheets/d/1MeEWN-I1oV_STSDYn1IFDPWt_1FKiwhDph83XaGc0o0/edit?usp=sharing"",""งบพรบ!FX70"")"),0)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IFERROR(__xludf.DUMMYFUNCTION("IMPORTRANGE(""https://docs.google.com/spreadsheets/d/1MeEWN-I1oV_STSDYn1IFDPWt_1FKiwhDph83XaGc0o0/edit?usp=sharing"",""งบพรบ!FT70"")"),0)</f>
        <v>0</v>
      </c>
      <c r="M410" s="93">
        <f ca="1">IFERROR(__xludf.DUMMYFUNCTION("IMPORTRANGE(""https://docs.google.com/spreadsheets/d/1MeEWN-I1oV_STSDYn1IFDPWt_1FKiwhDph83XaGc0o0/edit?usp=sharing"",""งบพรบ!FW70"")"),0)</f>
        <v>0</v>
      </c>
      <c r="N410" s="93">
        <f ca="1">IFERROR(__xludf.DUMMYFUNCTION("IMPORTRANGE(""https://docs.google.com/spreadsheets/d/1MeEWN-I1oV_STSDYn1IFDPWt_1FKiwhDph83XaGc0o0/edit?usp=sharing"",""งบพรบ!FY70"")"),0)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1195199</v>
      </c>
      <c r="M414" s="549">
        <f t="shared" ca="1" si="180"/>
        <v>1185063</v>
      </c>
      <c r="N414" s="549">
        <f t="shared" si="180"/>
        <v>699901.19</v>
      </c>
      <c r="O414" s="549">
        <f ca="1">IF(L414&gt;0,N414*100/L414,0)</f>
        <v>58.55938550818734</v>
      </c>
      <c r="P414" s="549">
        <f ca="1">IF(M414&gt;0,N414*100/M414,0)</f>
        <v>59.060251649068448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20</v>
      </c>
      <c r="J417" s="565">
        <f t="shared" ca="1" si="181"/>
        <v>20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78660</v>
      </c>
      <c r="M419" s="155">
        <f t="shared" ca="1" si="183"/>
        <v>78660</v>
      </c>
      <c r="N419" s="155">
        <f t="shared" si="183"/>
        <v>56965</v>
      </c>
      <c r="O419" s="155">
        <f t="shared" ref="O419:O424" ca="1" si="184">IF(L419&gt;0,N419*100/L419,0)</f>
        <v>72.41927281973048</v>
      </c>
      <c r="P419" s="155">
        <f t="shared" ref="P419:P424" ca="1" si="185">IF(M419&gt;0,N419*100/M419,0)</f>
        <v>72.41927281973048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78660</v>
      </c>
      <c r="M421" s="93">
        <f t="shared" ca="1" si="186"/>
        <v>78660</v>
      </c>
      <c r="N421" s="93">
        <f t="shared" si="186"/>
        <v>56965</v>
      </c>
      <c r="O421" s="93">
        <f t="shared" ca="1" si="184"/>
        <v>72.41927281973048</v>
      </c>
      <c r="P421" s="93">
        <f t="shared" ca="1" si="185"/>
        <v>72.41927281973048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78660</v>
      </c>
      <c r="M422" s="497">
        <f t="shared" ca="1" si="187"/>
        <v>78660</v>
      </c>
      <c r="N422" s="497">
        <f t="shared" si="187"/>
        <v>56965</v>
      </c>
      <c r="O422" s="497">
        <f t="shared" ca="1" si="184"/>
        <v>72.41927281973048</v>
      </c>
      <c r="P422" s="497">
        <f t="shared" ca="1" si="185"/>
        <v>72.41927281973048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IFERROR(__xludf.DUMMYFUNCTION("IMPORTRANGE(""https://docs.google.com/spreadsheets/d/1QqKyyYR6Q21VydFLVH3TRQUabQu_ym0Zz7PgGX0-kHA/edit?usp=sharing"",""แผน!EY70"")"),78660)</f>
        <v>78660</v>
      </c>
      <c r="M424" s="93">
        <f ca="1">L424</f>
        <v>78660</v>
      </c>
      <c r="N424" s="93">
        <f>N425+N426+N427+N428</f>
        <v>56965</v>
      </c>
      <c r="O424" s="93">
        <f t="shared" ca="1" si="184"/>
        <v>72.41927281973048</v>
      </c>
      <c r="P424" s="93">
        <f t="shared" ca="1" si="185"/>
        <v>72.41927281973048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30560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26405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IFERROR(__xludf.DUMMYFUNCTION("IMPORTRANGE(""https://docs.google.com/spreadsheets/d/1QqKyyYR6Q21VydFLVH3TRQUabQu_ym0Zz7PgGX0-kHA/edit?usp=sharing"",""แผน!FC70"")"),20)</f>
        <v>20</v>
      </c>
      <c r="J435" s="579">
        <v>20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IFERROR(__xludf.DUMMYFUNCTION("IMPORTRANGE(""https://docs.google.com/spreadsheets/d/1QqKyyYR6Q21VydFLVH3TRQUabQu_ym0Zz7PgGX0-kHA/edit?usp=sharing"",""แผน!FF70"")"),20)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10</v>
      </c>
      <c r="J442" s="585">
        <f t="shared" si="194"/>
        <v>10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20</v>
      </c>
      <c r="J443" s="565">
        <f t="shared" si="195"/>
        <v>20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103436</v>
      </c>
      <c r="M444" s="195">
        <f t="shared" ca="1" si="196"/>
        <v>93300</v>
      </c>
      <c r="N444" s="195">
        <f t="shared" si="196"/>
        <v>73520</v>
      </c>
      <c r="O444" s="195">
        <f t="shared" ref="O444:O449" ca="1" si="197">IF(L444&gt;0,N444*100/L444,0)</f>
        <v>71.077767895123557</v>
      </c>
      <c r="P444" s="195">
        <f t="shared" ref="P444:P449" ca="1" si="198">IF(M444&gt;0,N444*100/M444,0)</f>
        <v>78.79957127545552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103436</v>
      </c>
      <c r="M446" s="93">
        <f t="shared" ca="1" si="199"/>
        <v>93300</v>
      </c>
      <c r="N446" s="93">
        <f t="shared" si="199"/>
        <v>73520</v>
      </c>
      <c r="O446" s="93">
        <f t="shared" ca="1" si="197"/>
        <v>71.077767895123557</v>
      </c>
      <c r="P446" s="93">
        <f t="shared" ca="1" si="198"/>
        <v>78.79957127545552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103436</v>
      </c>
      <c r="M447" s="497">
        <f t="shared" ca="1" si="200"/>
        <v>93300</v>
      </c>
      <c r="N447" s="497">
        <f t="shared" si="200"/>
        <v>73520</v>
      </c>
      <c r="O447" s="497">
        <f t="shared" ca="1" si="197"/>
        <v>71.077767895123557</v>
      </c>
      <c r="P447" s="497">
        <f t="shared" ca="1" si="198"/>
        <v>78.79957127545552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IFERROR(__xludf.DUMMYFUNCTION("IMPORTRANGE(""https://docs.google.com/spreadsheets/d/1QqKyyYR6Q21VydFLVH3TRQUabQu_ym0Zz7PgGX0-kHA/edit?usp=sharing"",""แผน!FJ70"")"),103436)</f>
        <v>103436</v>
      </c>
      <c r="M449" s="93">
        <f ca="1">L449-10136</f>
        <v>93300</v>
      </c>
      <c r="N449" s="93">
        <f>N450+N451+N452+N453</f>
        <v>73520</v>
      </c>
      <c r="O449" s="93">
        <f t="shared" ca="1" si="197"/>
        <v>71.077767895123557</v>
      </c>
      <c r="P449" s="93">
        <f t="shared" ca="1" si="198"/>
        <v>78.79957127545552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38830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7690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IFERROR(__xludf.DUMMYFUNCTION("IMPORTRANGE(""https://docs.google.com/spreadsheets/d/1QqKyyYR6Q21VydFLVH3TRQUabQu_ym0Zz7PgGX0-kHA/edit?usp=sharing"",""แผน!FN70"")"),10)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IFERROR(__xludf.DUMMYFUNCTION("IMPORTRANGE(""https://docs.google.com/spreadsheets/d/1QqKyyYR6Q21VydFLVH3TRQUabQu_ym0Zz7PgGX0-kHA/edit?usp=sharing"",""แผน!FO70"")"),20)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IFERROR(__xludf.DUMMYFUNCTION("IMPORTRANGE(""https://docs.google.com/spreadsheets/d/1QqKyyYR6Q21VydFLVH3TRQUabQu_ym0Zz7PgGX0-kHA/edit?usp=sharing"",""แผน!FO70"")"),20)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IFERROR(__xludf.DUMMYFUNCTION("IMPORTRANGE(""https://docs.google.com/spreadsheets/d/1QqKyyYR6Q21VydFLVH3TRQUabQu_ym0Zz7PgGX0-kHA/edit?usp=sharing"",""แผน!FN70"")"),10)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IFERROR(__xludf.DUMMYFUNCTION("IMPORTRANGE(""https://docs.google.com/spreadsheets/d/1QqKyyYR6Q21VydFLVH3TRQUabQu_ym0Zz7PgGX0-kHA/edit?usp=sharing"",""แผน!FX70"")"),21)</f>
        <v>21</v>
      </c>
      <c r="J465" s="585">
        <f>J485+J489+J492</f>
        <v>21</v>
      </c>
      <c r="K465" s="586">
        <f t="shared" ref="K465:K466" ca="1" si="204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IFERROR(__xludf.DUMMYFUNCTION("IMPORTRANGE(""https://docs.google.com/spreadsheets/d/1QqKyyYR6Q21VydFLVH3TRQUabQu_ym0Zz7PgGX0-kHA/edit?usp=sharing"",""แผน!FW70"")"),200)</f>
        <v>200</v>
      </c>
      <c r="J466" s="565">
        <f>J495+J498</f>
        <v>200</v>
      </c>
      <c r="K466" s="566">
        <f t="shared" ca="1" si="204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179063</v>
      </c>
      <c r="M467" s="195">
        <f t="shared" ca="1" si="205"/>
        <v>179063</v>
      </c>
      <c r="N467" s="195">
        <f t="shared" si="205"/>
        <v>177170</v>
      </c>
      <c r="O467" s="195">
        <f t="shared" ref="O467:O472" ca="1" si="206">IF(L467&gt;0,N467*100/L467,0)</f>
        <v>98.94283017708851</v>
      </c>
      <c r="P467" s="195">
        <f t="shared" ref="P467:P472" ca="1" si="207">IF(M467&gt;0,N467*100/M467,0)</f>
        <v>98.94283017708851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179063</v>
      </c>
      <c r="M469" s="93">
        <f t="shared" ca="1" si="208"/>
        <v>179063</v>
      </c>
      <c r="N469" s="93">
        <f t="shared" si="208"/>
        <v>177170</v>
      </c>
      <c r="O469" s="93">
        <f t="shared" ca="1" si="206"/>
        <v>98.94283017708851</v>
      </c>
      <c r="P469" s="93">
        <f t="shared" ca="1" si="207"/>
        <v>98.94283017708851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179063</v>
      </c>
      <c r="M470" s="497">
        <f t="shared" ca="1" si="209"/>
        <v>179063</v>
      </c>
      <c r="N470" s="497">
        <f t="shared" si="209"/>
        <v>177170</v>
      </c>
      <c r="O470" s="497">
        <f t="shared" ca="1" si="206"/>
        <v>98.94283017708851</v>
      </c>
      <c r="P470" s="497">
        <f t="shared" ca="1" si="207"/>
        <v>98.94283017708851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IFERROR(__xludf.DUMMYFUNCTION("IMPORTRANGE(""https://docs.google.com/spreadsheets/d/1QqKyyYR6Q21VydFLVH3TRQUabQu_ym0Zz7PgGX0-kHA/edit?usp=sharing"",""แผน!FS70"")"),179063)</f>
        <v>179063</v>
      </c>
      <c r="M472" s="93">
        <f ca="1">L472</f>
        <v>179063</v>
      </c>
      <c r="N472" s="93">
        <f>N473+N474+N475+N476</f>
        <v>177170</v>
      </c>
      <c r="O472" s="93">
        <f t="shared" ca="1" si="206"/>
        <v>98.94283017708851</v>
      </c>
      <c r="P472" s="93">
        <f t="shared" ca="1" si="207"/>
        <v>98.94283017708851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46890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124000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6280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IFERROR(__xludf.DUMMYFUNCTION("IMPORTRANGE(""https://docs.google.com/spreadsheets/d/1QqKyyYR6Q21VydFLVH3TRQUabQu_ym0Zz7PgGX0-kHA/edit?usp=sharing"",""แผน!FY70"")"),180)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IFERROR(__xludf.DUMMYFUNCTION("IMPORTRANGE(""https://docs.google.com/spreadsheets/d/1QqKyyYR6Q21VydFLVH3TRQUabQu_ym0Zz7PgGX0-kHA/edit?usp=sharing"",""แผน!FZ70"")"),18)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IFERROR(__xludf.DUMMYFUNCTION("IMPORTRANGE(""https://docs.google.com/spreadsheets/d/1QqKyyYR6Q21VydFLVH3TRQUabQu_ym0Zz7PgGX0-kHA/edit?usp=sharing"",""แผน!GA70"")"),20)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IFERROR(__xludf.DUMMYFUNCTION("IMPORTRANGE(""https://docs.google.com/spreadsheets/d/1QqKyyYR6Q21VydFLVH3TRQUabQu_ym0Zz7PgGX0-kHA/edit?usp=sharing"",""แผน!GB70"")"),2)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IFERROR(__xludf.DUMMYFUNCTION("IMPORTRANGE(""https://docs.google.com/spreadsheets/d/1QqKyyYR6Q21VydFLVH3TRQUabQu_ym0Zz7PgGX0-kHA/edit?usp=sharing"",""แผน!FY70"")"),180)</f>
        <v>180</v>
      </c>
      <c r="J495" s="215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IFERROR(__xludf.DUMMYFUNCTION("IMPORTRANGE(""https://docs.google.com/spreadsheets/d/1QqKyyYR6Q21VydFLVH3TRQUabQu_ym0Zz7PgGX0-kHA/edit?usp=sharing"",""แผน!GA70"")"),20)</f>
        <v>20</v>
      </c>
      <c r="J498" s="215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248300</v>
      </c>
      <c r="M544" s="155">
        <f t="shared" ca="1" si="235"/>
        <v>248300</v>
      </c>
      <c r="N544" s="155">
        <f t="shared" si="235"/>
        <v>193648.05</v>
      </c>
      <c r="O544" s="155">
        <f t="shared" ref="O544:O549" ca="1" si="236">IF(L544&gt;0,N544*100/L544,0)</f>
        <v>77.98954893274265</v>
      </c>
      <c r="P544" s="155">
        <f t="shared" ref="P544:P549" ca="1" si="237">IF(M544&gt;0,N544*100/M544,0)</f>
        <v>77.98954893274265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248300</v>
      </c>
      <c r="M546" s="93">
        <f t="shared" ca="1" si="239"/>
        <v>248300</v>
      </c>
      <c r="N546" s="93">
        <f t="shared" si="239"/>
        <v>193648.05</v>
      </c>
      <c r="O546" s="93">
        <f t="shared" ca="1" si="236"/>
        <v>77.98954893274265</v>
      </c>
      <c r="P546" s="93">
        <f t="shared" ca="1" si="237"/>
        <v>77.98954893274265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248300</v>
      </c>
      <c r="M547" s="497">
        <f t="shared" ca="1" si="240"/>
        <v>248300</v>
      </c>
      <c r="N547" s="497">
        <f t="shared" si="240"/>
        <v>193648.05</v>
      </c>
      <c r="O547" s="497">
        <f t="shared" ca="1" si="236"/>
        <v>77.98954893274265</v>
      </c>
      <c r="P547" s="497">
        <f t="shared" ca="1" si="237"/>
        <v>77.98954893274265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IFERROR(__xludf.DUMMYFUNCTION("IMPORTRANGE(""https://docs.google.com/spreadsheets/d/1QqKyyYR6Q21VydFLVH3TRQUabQu_ym0Zz7PgGX0-kHA/edit?usp=sharing"",""แผน!HB70"")"),248300)</f>
        <v>248300</v>
      </c>
      <c r="M549" s="93">
        <f ca="1">L549</f>
        <v>248300</v>
      </c>
      <c r="N549" s="93">
        <f>N550+N551+N552+N553+N554</f>
        <v>193648.05</v>
      </c>
      <c r="O549" s="93">
        <f t="shared" ca="1" si="236"/>
        <v>77.98954893274265</v>
      </c>
      <c r="P549" s="93">
        <f t="shared" ca="1" si="237"/>
        <v>77.98954893274265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102701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90947.05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641.15</v>
      </c>
      <c r="J592" s="703">
        <f t="shared" si="252"/>
        <v>577</v>
      </c>
      <c r="K592" s="672">
        <f t="shared" ref="K592:K594" ca="1" si="253">IF(I592&gt;0,J592*100/I592,0)</f>
        <v>89.994541059034546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IFERROR(__xludf.DUMMYFUNCTION("IMPORTRANGE(""https://docs.google.com/spreadsheets/d/1QqKyyYR6Q21VydFLVH3TRQUabQu_ym0Zz7PgGX0-kHA/edit?usp=sharing"",""แผน!HJ70"")"),641.15)</f>
        <v>641.15</v>
      </c>
      <c r="J593" s="193">
        <f t="shared" ref="J593:J594" si="254">J595+J603+J609</f>
        <v>577</v>
      </c>
      <c r="K593" s="411">
        <f t="shared" ca="1" si="253"/>
        <v>89.994541059034546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IFERROR(__xludf.DUMMYFUNCTION("IMPORTRANGE(""https://docs.google.com/spreadsheets/d/1QqKyyYR6Q21VydFLVH3TRQUabQu_ym0Zz7PgGX0-kHA/edit?usp=sharing"",""แผน!HI70"")"),121)</f>
        <v>121</v>
      </c>
      <c r="J594" s="193">
        <f t="shared" si="254"/>
        <v>106</v>
      </c>
      <c r="K594" s="411">
        <f t="shared" ca="1" si="253"/>
        <v>87.603305785123965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452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96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452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96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65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6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60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500</v>
      </c>
      <c r="J628" s="736">
        <f t="shared" ca="1" si="261"/>
        <v>26</v>
      </c>
      <c r="K628" s="737">
        <f ca="1">IF(I628&gt;0,J628*100/I628,0)</f>
        <v>5.2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565480</v>
      </c>
      <c r="M629" s="195">
        <f t="shared" ca="1" si="262"/>
        <v>565480</v>
      </c>
      <c r="N629" s="195">
        <f t="shared" si="262"/>
        <v>182784.14</v>
      </c>
      <c r="O629" s="195">
        <f t="shared" ref="O629:O634" ca="1" si="263">IF(L629&gt;0,N629*100/L629,0)</f>
        <v>32.323714366555848</v>
      </c>
      <c r="P629" s="195">
        <f t="shared" ref="P629:P634" ca="1" si="264">IF(M629&gt;0,N629*100/M629,0)</f>
        <v>32.323714366555848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565480</v>
      </c>
      <c r="M631" s="93">
        <f t="shared" ca="1" si="265"/>
        <v>565480</v>
      </c>
      <c r="N631" s="93">
        <f t="shared" si="265"/>
        <v>182784.14</v>
      </c>
      <c r="O631" s="93">
        <f t="shared" ca="1" si="263"/>
        <v>32.323714366555848</v>
      </c>
      <c r="P631" s="93">
        <f t="shared" ca="1" si="264"/>
        <v>32.323714366555848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565480</v>
      </c>
      <c r="M632" s="497">
        <f t="shared" ca="1" si="266"/>
        <v>565480</v>
      </c>
      <c r="N632" s="497">
        <f t="shared" si="266"/>
        <v>182784.14</v>
      </c>
      <c r="O632" s="497">
        <f t="shared" ca="1" si="263"/>
        <v>32.323714366555848</v>
      </c>
      <c r="P632" s="497">
        <f t="shared" ca="1" si="264"/>
        <v>32.323714366555848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IFERROR(__xludf.DUMMYFUNCTION("IMPORTRANGE(""https://docs.google.com/spreadsheets/d/1QqKyyYR6Q21VydFLVH3TRQUabQu_ym0Zz7PgGX0-kHA/edit?usp=sharing"",""แผน!HN70"")"),565480)</f>
        <v>565480</v>
      </c>
      <c r="M634" s="93">
        <f ca="1">L634</f>
        <v>565480</v>
      </c>
      <c r="N634" s="93">
        <f>N635+N636+N637+N638</f>
        <v>182784.14</v>
      </c>
      <c r="O634" s="93">
        <f t="shared" ca="1" si="263"/>
        <v>32.323714366555848</v>
      </c>
      <c r="P634" s="93">
        <f t="shared" ca="1" si="264"/>
        <v>32.323714366555848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57876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124908.14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IFERROR(__xludf.DUMMYFUNCTION("IMPORTRANGE(""https://docs.google.com/spreadsheets/d/1XWAQStnk-4SwqDmLtmXYiTMKHgktTP8We1SCoS47DrQ/edit?usp=sharing"",""จัดที่ดิน!AS70"")"),49)</f>
        <v>49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IFERROR(__xludf.DUMMYFUNCTION("IMPORTRANGE(""https://docs.google.com/spreadsheets/d/1XWAQStnk-4SwqDmLtmXYiTMKHgktTP8We1SCoS47DrQ/edit?usp=sharing"",""จัดที่ดิน!AT70"")"),42.56)</f>
        <v>42.56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IFERROR(__xludf.DUMMYFUNCTION("IMPORTRANGE(""https://docs.google.com/spreadsheets/d/1QqKyyYR6Q21VydFLVH3TRQUabQu_ym0Zz7PgGX0-kHA/edit?usp=sharing"",""แผน!HS70"")"),500)</f>
        <v>500</v>
      </c>
      <c r="J647" s="270">
        <f ca="1">IFERROR(__xludf.DUMMYFUNCTION("IMPORTRANGE(""https://docs.google.com/spreadsheets/d/1XWAQStnk-4SwqDmLtmXYiTMKHgktTP8We1SCoS47DrQ/edit?usp=sharing"",""จัดที่ดิน!AU70"")"),50)</f>
        <v>50</v>
      </c>
      <c r="K647" s="163">
        <f t="shared" ca="1" si="270"/>
        <v>10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IFERROR(__xludf.DUMMYFUNCTION("IMPORTRANGE(""https://docs.google.com/spreadsheets/d/1XWAQStnk-4SwqDmLtmXYiTMKHgktTP8We1SCoS47DrQ/edit?usp=sharing"",""จัดที่ดิน!AV70"")"),43.34)</f>
        <v>43.34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IFERROR(__xludf.DUMMYFUNCTION("IMPORTRANGE(""https://docs.google.com/spreadsheets/d/1QqKyyYR6Q21VydFLVH3TRQUabQu_ym0Zz7PgGX0-kHA/edit?usp=sharing"",""แผน!HS70"")"),500)</f>
        <v>500</v>
      </c>
      <c r="J649" s="270">
        <f ca="1">IFERROR(__xludf.DUMMYFUNCTION("IMPORTRANGE(""https://docs.google.com/spreadsheets/d/1XWAQStnk-4SwqDmLtmXYiTMKHgktTP8We1SCoS47DrQ/edit?usp=sharing"",""จัดที่ดิน!AW70"")"),30)</f>
        <v>30</v>
      </c>
      <c r="K649" s="163">
        <f t="shared" ca="1" si="270"/>
        <v>6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IFERROR(__xludf.DUMMYFUNCTION("IMPORTRANGE(""https://docs.google.com/spreadsheets/d/1XWAQStnk-4SwqDmLtmXYiTMKHgktTP8We1SCoS47DrQ/edit?usp=sharing"",""จัดที่ดิน!AX70"")"),35.82)</f>
        <v>35.82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IFERROR(__xludf.DUMMYFUNCTION("IMPORTRANGE(""https://docs.google.com/spreadsheets/d/1QqKyyYR6Q21VydFLVH3TRQUabQu_ym0Zz7PgGX0-kHA/edit?usp=sharing"",""แผน!HS70"")"),500)</f>
        <v>500</v>
      </c>
      <c r="J651" s="270">
        <f ca="1">IFERROR(__xludf.DUMMYFUNCTION("IMPORTRANGE(""https://docs.google.com/spreadsheets/d/1XWAQStnk-4SwqDmLtmXYiTMKHgktTP8We1SCoS47DrQ/edit?usp=sharing"",""จัดที่ดิน!AY70"")"),26)</f>
        <v>26</v>
      </c>
      <c r="K651" s="163">
        <f t="shared" ca="1" si="270"/>
        <v>5.2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IFERROR(__xludf.DUMMYFUNCTION("IMPORTRANGE(""https://docs.google.com/spreadsheets/d/1XWAQStnk-4SwqDmLtmXYiTMKHgktTP8We1SCoS47DrQ/edit?usp=sharing"",""จัดที่ดิน!AZ70"")"),31)</f>
        <v>31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50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11000</v>
      </c>
      <c r="M655" s="195">
        <f t="shared" ca="1" si="272"/>
        <v>11000</v>
      </c>
      <c r="N655" s="195">
        <f t="shared" si="272"/>
        <v>10114</v>
      </c>
      <c r="O655" s="195">
        <f t="shared" ref="O655:O660" ca="1" si="273">IF(L655&gt;0,N655*100/L655,0)</f>
        <v>91.945454545454552</v>
      </c>
      <c r="P655" s="195">
        <f t="shared" ref="P655:P660" ca="1" si="274">IF(M655&gt;0,N655*100/M655,0)</f>
        <v>91.945454545454552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11000</v>
      </c>
      <c r="M657" s="93">
        <f t="shared" ca="1" si="275"/>
        <v>11000</v>
      </c>
      <c r="N657" s="93">
        <f t="shared" si="275"/>
        <v>10114</v>
      </c>
      <c r="O657" s="93">
        <f t="shared" ca="1" si="273"/>
        <v>91.945454545454552</v>
      </c>
      <c r="P657" s="93">
        <f t="shared" ca="1" si="274"/>
        <v>91.945454545454552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11000</v>
      </c>
      <c r="M658" s="497">
        <f t="shared" ca="1" si="276"/>
        <v>11000</v>
      </c>
      <c r="N658" s="497">
        <f t="shared" si="276"/>
        <v>10114</v>
      </c>
      <c r="O658" s="497">
        <f t="shared" ca="1" si="273"/>
        <v>91.945454545454552</v>
      </c>
      <c r="P658" s="497">
        <f t="shared" ca="1" si="274"/>
        <v>91.945454545454552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IFERROR(__xludf.DUMMYFUNCTION("IMPORTRANGE(""https://docs.google.com/spreadsheets/d/1QqKyyYR6Q21VydFLVH3TRQUabQu_ym0Zz7PgGX0-kHA/edit?usp=sharing"",""แผน!HV70"")"),11000)</f>
        <v>11000</v>
      </c>
      <c r="M660" s="93">
        <f ca="1">L660</f>
        <v>11000</v>
      </c>
      <c r="N660" s="93">
        <f>N661+N662+N663+N664</f>
        <v>10114</v>
      </c>
      <c r="O660" s="93">
        <f t="shared" ca="1" si="273"/>
        <v>91.945454545454552</v>
      </c>
      <c r="P660" s="93">
        <f t="shared" ca="1" si="274"/>
        <v>91.945454545454552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8944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1170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IFERROR(__xludf.DUMMYFUNCTION("IMPORTRANGE(""https://docs.google.com/spreadsheets/d/1QqKyyYR6Q21VydFLVH3TRQUabQu_ym0Zz7PgGX0-kHA/edit?usp=sharing"",""แผน!IA70"")"),50)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IFERROR(__xludf.DUMMYFUNCTION("IMPORTRANGE(""https://docs.google.com/spreadsheets/d/1QqKyyYR6Q21VydFLVH3TRQUabQu_ym0Zz7PgGX0-kHA/edit?usp=sharing"",""แผน!HZ70"")"),5)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IFERROR(__xludf.DUMMYFUNCTION("IMPORTRANGE(""https://docs.google.com/spreadsheets/d/1QqKyyYR6Q21VydFLVH3TRQUabQu_ym0Zz7PgGX0-kHA/edit?usp=sharing"",""แผน!HZ70"")"),5)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9260</v>
      </c>
      <c r="M685" s="195">
        <f t="shared" ca="1" si="281"/>
        <v>9260</v>
      </c>
      <c r="N685" s="195">
        <f t="shared" si="281"/>
        <v>5700</v>
      </c>
      <c r="O685" s="195">
        <f t="shared" ref="O685:O688" ca="1" si="282">IF(L685&gt;0,N685*100/L685,0)</f>
        <v>61.555075593952481</v>
      </c>
      <c r="P685" s="195">
        <f t="shared" ref="P685:P688" ca="1" si="283">IF(M685&gt;0,N685*100/M685,0)</f>
        <v>61.555075593952481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9260</v>
      </c>
      <c r="M687" s="93">
        <f t="shared" ca="1" si="284"/>
        <v>9260</v>
      </c>
      <c r="N687" s="93">
        <f t="shared" si="284"/>
        <v>5700</v>
      </c>
      <c r="O687" s="93">
        <f t="shared" ca="1" si="282"/>
        <v>61.555075593952481</v>
      </c>
      <c r="P687" s="93">
        <f t="shared" ca="1" si="283"/>
        <v>61.555075593952481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9260</v>
      </c>
      <c r="M688" s="497">
        <f t="shared" ca="1" si="285"/>
        <v>9260</v>
      </c>
      <c r="N688" s="497">
        <f t="shared" si="285"/>
        <v>5700</v>
      </c>
      <c r="O688" s="497">
        <f t="shared" ca="1" si="282"/>
        <v>61.555075593952481</v>
      </c>
      <c r="P688" s="497">
        <f t="shared" ca="1" si="283"/>
        <v>61.555075593952481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IFERROR(__xludf.DUMMYFUNCTION("IMPORTRANGE(""https://docs.google.com/spreadsheets/d/1QqKyyYR6Q21VydFLVH3TRQUabQu_ym0Zz7PgGX0-kHA/edit?usp=sharing"",""แผน!HW70"")"),9260)</f>
        <v>9260</v>
      </c>
      <c r="M690" s="93">
        <f ca="1">L690</f>
        <v>9260</v>
      </c>
      <c r="N690" s="93">
        <f>N691+N692+N693+N694</f>
        <v>5700</v>
      </c>
      <c r="O690" s="93">
        <f ca="1">IF(L690&gt;0,N690*100/L690,0)</f>
        <v>61.555075593952481</v>
      </c>
      <c r="P690" s="93">
        <f ca="1">IF(M690&gt;0,N690*100/M690,0)</f>
        <v>61.555075593952481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5700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IFERROR(__xludf.DUMMYFUNCTION("IMPORTRANGE(""https://docs.google.com/spreadsheets/d/1QqKyyYR6Q21VydFLVH3TRQUabQu_ym0Zz7PgGX0-kHA/edit?usp=sharing"",""แผน!IC70"")"),0)</f>
        <v>0</v>
      </c>
      <c r="J699" s="270">
        <f ca="1">IFERROR(__xludf.DUMMYFUNCTION("IMPORTRANGE(""https://docs.google.com/spreadsheets/d/1XWAQStnk-4SwqDmLtmXYiTMKHgktTP8We1SCoS47DrQ/edit?usp=sharing"",""จัดที่ดิน!BB70"")"),0)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IFERROR(__xludf.DUMMYFUNCTION("IMPORTRANGE(""https://docs.google.com/spreadsheets/d/1QqKyyYR6Q21VydFLVH3TRQUabQu_ym0Zz7PgGX0-kHA/edit?usp=sharing"",""แผน!ID70"")"),0)</f>
        <v>0</v>
      </c>
      <c r="J700" s="270">
        <f ca="1">IFERROR(__xludf.DUMMYFUNCTION("IMPORTRANGE(""https://docs.google.com/spreadsheets/d/1XWAQStnk-4SwqDmLtmXYiTMKHgktTP8We1SCoS47DrQ/edit?usp=sharing"",""จัดที่ดิน!BD70"")"),0)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IFERROR(__xludf.DUMMYFUNCTION("IMPORTRANGE(""https://docs.google.com/spreadsheets/d/1QqKyyYR6Q21VydFLVH3TRQUabQu_ym0Zz7PgGX0-kHA/edit?usp=sharing"",""แผน!IE70"")"),23)</f>
        <v>23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IFERROR(__xludf.DUMMYFUNCTION("IMPORTRANGE(""https://docs.google.com/spreadsheets/d/1QqKyyYR6Q21VydFLVH3TRQUabQu_ym0Zz7PgGX0-kHA/edit?usp=sharing"",""แผน!IF70"")"),23)</f>
        <v>23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IFERROR(__xludf.DUMMYFUNCTION("IMPORTRANGE(""https://docs.google.com/spreadsheets/d/1QqKyyYR6Q21VydFLVH3TRQUabQu_ym0Zz7PgGX0-kHA/edit?usp=sharing"",""แผน!II70"")"),200)</f>
        <v>200</v>
      </c>
      <c r="J720" s="270">
        <f ca="1">IFERROR(__xludf.DUMMYFUNCTION("IMPORTRANGE(""https://docs.google.com/spreadsheets/d/1XWAQStnk-4SwqDmLtmXYiTMKHgktTP8We1SCoS47DrQ/edit?usp=sharing"",""จัดที่ดิน!BH70"")"),0)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IFERROR(__xludf.DUMMYFUNCTION("IMPORTRANGE(""https://docs.google.com/spreadsheets/d/1QqKyyYR6Q21VydFLVH3TRQUabQu_ym0Zz7PgGX0-kHA/edit?usp=sharing"",""แผน!IJ70"")"),15)</f>
        <v>15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IFERROR(__xludf.DUMMYFUNCTION("IMPORTRANGE(""https://docs.google.com/spreadsheets/d/1QqKyyYR6Q21VydFLVH3TRQUabQu_ym0Zz7PgGX0-kHA/edit?usp=sharing"",""แผน!IK70"")"),150)</f>
        <v>150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IFERROR(__xludf.DUMMYFUNCTION("IMPORTRANGE(""https://docs.google.com/spreadsheets/d/1QqKyyYR6Q21VydFLVH3TRQUabQu_ym0Zz7PgGX0-kHA/edit?usp=sharing"",""แผน!IL70"")"),15)</f>
        <v>15</v>
      </c>
      <c r="J723" s="270">
        <f ca="1">IFERROR(__xludf.DUMMYFUNCTION("IMPORTRANGE(""https://docs.google.com/spreadsheets/d/1XWAQStnk-4SwqDmLtmXYiTMKHgktTP8We1SCoS47DrQ/edit?usp=sharing"",""จัดที่ดิน!BM70"")"),0)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IFERROR(__xludf.DUMMYFUNCTION("IMPORTRANGE(""https://docs.google.com/spreadsheets/d/1XWAQStnk-4SwqDmLtmXYiTMKHgktTP8We1SCoS47DrQ/edit?usp=sharing"",""จัดที่ดิน!BN70"")"),0)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IFERROR(__xludf.DUMMYFUNCTION("IMPORTRANGE(""https://docs.google.com/spreadsheets/d/1QqKyyYR6Q21VydFLVH3TRQUabQu_ym0Zz7PgGX0-kHA/edit?usp=sharing"",""แผน!IM70"")"),150)</f>
        <v>150</v>
      </c>
      <c r="J725" s="270">
        <f ca="1">IFERROR(__xludf.DUMMYFUNCTION("IMPORTRANGE(""https://docs.google.com/spreadsheets/d/1XWAQStnk-4SwqDmLtmXYiTMKHgktTP8We1SCoS47DrQ/edit?usp=sharing"",""จัดที่ดิน!BO70"")"),0)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IFERROR(__xludf.DUMMYFUNCTION("IMPORTRANGE(""https://docs.google.com/spreadsheets/d/1QqKyyYR6Q21VydFLVH3TRQUabQu_ym0Zz7PgGX0-kHA/edit?usp=sharing"",""แผน!IN70"")"),0)</f>
        <v>0</v>
      </c>
      <c r="J726" s="270">
        <f ca="1">IFERROR(__xludf.DUMMYFUNCTION("IMPORTRANGE(""https://docs.google.com/spreadsheets/d/1XWAQStnk-4SwqDmLtmXYiTMKHgktTP8We1SCoS47DrQ/edit?usp=sharing"",""จัดที่ดิน!BR70"")"),0)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IFERROR(__xludf.DUMMYFUNCTION("IMPORTRANGE(""https://docs.google.com/spreadsheets/d/1XWAQStnk-4SwqDmLtmXYiTMKHgktTP8We1SCoS47DrQ/edit?usp=sharing"",""จัดที่ดิน!BS70"")"),0)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IFERROR(__xludf.DUMMYFUNCTION("IMPORTRANGE(""https://docs.google.com/spreadsheets/d/1QqKyyYR6Q21VydFLVH3TRQUabQu_ym0Zz7PgGX0-kHA/edit?usp=sharing"",""แผน!IO70"")"),0)</f>
        <v>0</v>
      </c>
      <c r="J728" s="270">
        <f ca="1">IFERROR(__xludf.DUMMYFUNCTION("IMPORTRANGE(""https://docs.google.com/spreadsheets/d/1XWAQStnk-4SwqDmLtmXYiTMKHgktTP8We1SCoS47DrQ/edit?usp=sharing"",""จัดที่ดิน!BT70"")"),0)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IFERROR(__xludf.DUMMYFUNCTION("IMPORTRANGE(""https://docs.google.com/spreadsheets/d/1QqKyyYR6Q21VydFLVH3TRQUabQu_ym0Zz7PgGX0-kHA/edit?usp=sharing"",""แผน!JN70"")"),0)</f>
        <v>0</v>
      </c>
      <c r="J800" s="184">
        <f ca="1">IFERROR(__xludf.DUMMYFUNCTION("IMPORTRANGE(""https://docs.google.com/spreadsheets/d/1MaWodYyGHDf7siQLGxnXhG4mBNTNIuy296niS2xXulU/edit?usp=sharing"",""RTK!H70"")"),0)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70">
        <f ca="1">IFERROR(__xludf.DUMMYFUNCTION("IMPORTRANGE(""https://docs.google.com/spreadsheets/d/19vJNZY_5yjcGF2XGBMNZRCAIB0Kwfpjp8YEOfu-bneM/edit?usp=sharing"",""งานกองทุน!F70"")"),898120.58)</f>
        <v>898120.58</v>
      </c>
      <c r="K821" s="497">
        <f t="shared" ref="K821:K828" ca="1" si="334">IF(I821&gt;0,J821*100/I821,0)</f>
        <v>37.471829546460107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IFERROR(__xludf.DUMMYFUNCTION("IMPORTRANGE(""https://docs.google.com/spreadsheets/d/19vJNZY_5yjcGF2XGBMNZRCAIB0Kwfpjp8YEOfu-bneM/edit?usp=sharing"",""งานกองทุน!C70"")"),174)</f>
        <v>174</v>
      </c>
      <c r="J822" s="270">
        <f ca="1">IFERROR(__xludf.DUMMYFUNCTION("IMPORTRANGE(""https://docs.google.com/spreadsheets/d/19vJNZY_5yjcGF2XGBMNZRCAIB0Kwfpjp8YEOfu-bneM/edit?usp=sharing"",""งานกองทุน!E70"")"),63)</f>
        <v>63</v>
      </c>
      <c r="K822" s="497">
        <f t="shared" ca="1" si="334"/>
        <v>36.206896551724135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70">
        <f ca="1">IFERROR(__xludf.DUMMYFUNCTION("IMPORTRANGE(""https://docs.google.com/spreadsheets/d/19vJNZY_5yjcGF2XGBMNZRCAIB0Kwfpjp8YEOfu-bneM/edit?usp=sharing"",""งานกองทุน!K70"")"),638792.93)</f>
        <v>638792.93000000005</v>
      </c>
      <c r="K823" s="497">
        <f t="shared" ca="1" si="334"/>
        <v>3.7651832029989274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IFERROR(__xludf.DUMMYFUNCTION("IMPORTRANGE(""https://docs.google.com/spreadsheets/d/19vJNZY_5yjcGF2XGBMNZRCAIB0Kwfpjp8YEOfu-bneM/edit?usp=sharing"",""งานกองทุน!H70"")"),254)</f>
        <v>254</v>
      </c>
      <c r="J824" s="270">
        <f ca="1">IFERROR(__xludf.DUMMYFUNCTION("IMPORTRANGE(""https://docs.google.com/spreadsheets/d/19vJNZY_5yjcGF2XGBMNZRCAIB0Kwfpjp8YEOfu-bneM/edit?usp=sharing"",""งานกองทุน!J70"")"),67)</f>
        <v>67</v>
      </c>
      <c r="K824" s="497">
        <f t="shared" ca="1" si="334"/>
        <v>26.377952755905511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70">
        <f ca="1">IFERROR(__xludf.DUMMYFUNCTION("IMPORTRANGE(""https://docs.google.com/spreadsheets/d/19vJNZY_5yjcGF2XGBMNZRCAIB0Kwfpjp8YEOfu-bneM/edit?usp=sharing"",""งานกองทุน!P70"")"),205561.09)</f>
        <v>205561.09</v>
      </c>
      <c r="K825" s="497">
        <f t="shared" ca="1" si="334"/>
        <v>8.5946107702838095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IFERROR(__xludf.DUMMYFUNCTION("IMPORTRANGE(""https://docs.google.com/spreadsheets/d/19vJNZY_5yjcGF2XGBMNZRCAIB0Kwfpjp8YEOfu-bneM/edit?usp=sharing"",""งานกองทุน!M70"")"),88)</f>
        <v>88</v>
      </c>
      <c r="J826" s="270">
        <f ca="1">IFERROR(__xludf.DUMMYFUNCTION("IMPORTRANGE(""https://docs.google.com/spreadsheets/d/19vJNZY_5yjcGF2XGBMNZRCAIB0Kwfpjp8YEOfu-bneM/edit?usp=sharing"",""งานกองทุน!O70"")"),112)</f>
        <v>112</v>
      </c>
      <c r="K826" s="497">
        <f t="shared" ca="1" si="334"/>
        <v>127.27272727272727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IFERROR(__xludf.DUMMYFUNCTION("IMPORTRANGE(""https://docs.google.com/spreadsheets/d/19vJNZY_5yjcGF2XGBMNZRCAIB0Kwfpjp8YEOfu-bneM/edit?usp=sharing"",""งานกองทุน!S70"")"),4030000)</f>
        <v>4030000</v>
      </c>
      <c r="J827" s="270">
        <f ca="1">IFERROR(__xludf.DUMMYFUNCTION("IMPORTRANGE(""https://docs.google.com/spreadsheets/d/19vJNZY_5yjcGF2XGBMNZRCAIB0Kwfpjp8YEOfu-bneM/edit?usp=sharing"",""งานกองทุน!U70"")"),0)</f>
        <v>0</v>
      </c>
      <c r="K827" s="497">
        <f t="shared" ca="1" si="334"/>
        <v>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IFERROR(__xludf.DUMMYFUNCTION("IMPORTRANGE(""https://docs.google.com/spreadsheets/d/19vJNZY_5yjcGF2XGBMNZRCAIB0Kwfpjp8YEOfu-bneM/edit?usp=sharing"",""งานกองทุน!R70"")"),161)</f>
        <v>161</v>
      </c>
      <c r="J828" s="501">
        <f ca="1">IFERROR(__xludf.DUMMYFUNCTION("IMPORTRANGE(""https://docs.google.com/spreadsheets/d/19vJNZY_5yjcGF2XGBMNZRCAIB0Kwfpjp8YEOfu-bneM/edit?usp=sharing"",""งานกองทุน!T70"")"),0)</f>
        <v>0</v>
      </c>
      <c r="K828" s="502">
        <f t="shared" ca="1" si="334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FAAF-F5D1-4F12-8D28-50A2ED5A2B44}">
  <sheetPr codeName="Sheet20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2152025</v>
      </c>
      <c r="M8" s="22">
        <f t="shared" ca="1" si="0"/>
        <v>2178045</v>
      </c>
      <c r="N8" s="22">
        <f t="shared" ca="1" si="0"/>
        <v>1711396.82</v>
      </c>
      <c r="O8" s="22">
        <f t="shared" ref="O8:O16" ca="1" si="1">IF(L8&gt;0,N8*100/L8,0)</f>
        <v>79.524950685981807</v>
      </c>
      <c r="P8" s="22">
        <f t="shared" ref="P8:P16" ca="1" si="2">IF(M8&gt;0,N8*100/M8,0)</f>
        <v>78.574906395414231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2152025</v>
      </c>
      <c r="M10" s="30">
        <f t="shared" ca="1" si="3"/>
        <v>2178045</v>
      </c>
      <c r="N10" s="30">
        <f t="shared" ca="1" si="3"/>
        <v>1711396.82</v>
      </c>
      <c r="O10" s="30">
        <f t="shared" ca="1" si="1"/>
        <v>79.524950685981807</v>
      </c>
      <c r="P10" s="30">
        <f t="shared" ca="1" si="2"/>
        <v>78.574906395414231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2099225</v>
      </c>
      <c r="M11" s="497">
        <f t="shared" ca="1" si="4"/>
        <v>2126005</v>
      </c>
      <c r="N11" s="497">
        <f t="shared" ca="1" si="4"/>
        <v>1659356.82</v>
      </c>
      <c r="O11" s="497">
        <f t="shared" ca="1" si="1"/>
        <v>79.046163226905165</v>
      </c>
      <c r="P11" s="497">
        <f t="shared" ca="1" si="2"/>
        <v>78.050466485262262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2099225</v>
      </c>
      <c r="M13" s="93">
        <f t="shared" ca="1" si="5"/>
        <v>2126005</v>
      </c>
      <c r="N13" s="93">
        <f t="shared" ca="1" si="5"/>
        <v>1659356.82</v>
      </c>
      <c r="O13" s="93">
        <f t="shared" ca="1" si="1"/>
        <v>79.046163226905165</v>
      </c>
      <c r="P13" s="93">
        <f t="shared" ca="1" si="2"/>
        <v>78.050466485262262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52040</v>
      </c>
      <c r="N14" s="497">
        <f t="shared" ca="1" si="6"/>
        <v>52040</v>
      </c>
      <c r="O14" s="497">
        <f t="shared" ca="1" si="1"/>
        <v>98.560606060606062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52040</v>
      </c>
      <c r="N16" s="52">
        <f t="shared" ca="1" si="7"/>
        <v>52040</v>
      </c>
      <c r="O16" s="52">
        <f t="shared" ca="1" si="1"/>
        <v>98.560606060606062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2008525</v>
      </c>
      <c r="M18" s="22">
        <f t="shared" ca="1" si="8"/>
        <v>2034545</v>
      </c>
      <c r="N18" s="22">
        <f t="shared" ca="1" si="8"/>
        <v>1627885.82</v>
      </c>
      <c r="O18" s="22">
        <f t="shared" ref="O18:O26" ca="1" si="9">IF(L18&gt;0,N18*100/L18,0)</f>
        <v>81.048820403032082</v>
      </c>
      <c r="P18" s="22">
        <f t="shared" ref="P18:P26" ca="1" si="10">IF(M18&gt;0,N18*100/M18,0)</f>
        <v>80.01227891248412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2008525</v>
      </c>
      <c r="M20" s="30">
        <f t="shared" ca="1" si="11"/>
        <v>2034545</v>
      </c>
      <c r="N20" s="30">
        <f t="shared" ca="1" si="11"/>
        <v>1627885.82</v>
      </c>
      <c r="O20" s="30">
        <f t="shared" ca="1" si="9"/>
        <v>81.048820403032082</v>
      </c>
      <c r="P20" s="30">
        <f t="shared" ca="1" si="10"/>
        <v>80.01227891248412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1955725</v>
      </c>
      <c r="M21" s="497">
        <f t="shared" ca="1" si="12"/>
        <v>1982505</v>
      </c>
      <c r="N21" s="497">
        <f t="shared" ca="1" si="12"/>
        <v>1575845.82</v>
      </c>
      <c r="O21" s="497">
        <f t="shared" ca="1" si="9"/>
        <v>80.576043155351599</v>
      </c>
      <c r="P21" s="497">
        <f t="shared" ca="1" si="10"/>
        <v>79.487608858489637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1955725</v>
      </c>
      <c r="M23" s="93">
        <f t="shared" ca="1" si="13"/>
        <v>1982505</v>
      </c>
      <c r="N23" s="93">
        <f t="shared" ca="1" si="13"/>
        <v>1575845.82</v>
      </c>
      <c r="O23" s="93">
        <f t="shared" ca="1" si="9"/>
        <v>80.576043155351599</v>
      </c>
      <c r="P23" s="93">
        <f t="shared" ca="1" si="10"/>
        <v>79.487608858489637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52040</v>
      </c>
      <c r="N24" s="497">
        <f t="shared" ca="1" si="14"/>
        <v>52040</v>
      </c>
      <c r="O24" s="497">
        <f t="shared" ca="1" si="9"/>
        <v>98.560606060606062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52040</v>
      </c>
      <c r="N26" s="52">
        <f t="shared" ca="1" si="15"/>
        <v>52040</v>
      </c>
      <c r="O26" s="52">
        <f t="shared" ca="1" si="9"/>
        <v>98.560606060606062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143500</v>
      </c>
      <c r="M28" s="22">
        <f t="shared" ca="1" si="16"/>
        <v>143500</v>
      </c>
      <c r="N28" s="22">
        <f t="shared" si="16"/>
        <v>83511</v>
      </c>
      <c r="O28" s="22">
        <f t="shared" ref="O28:O37" ca="1" si="17">IF(L28&gt;0,N28*100/L28,0)</f>
        <v>58.195818815331009</v>
      </c>
      <c r="P28" s="22">
        <f t="shared" ref="P28:P37" ca="1" si="18">IF(M28&gt;0,N28*100/M28,0)</f>
        <v>58.195818815331009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143500</v>
      </c>
      <c r="M30" s="30">
        <f t="shared" ca="1" si="19"/>
        <v>143500</v>
      </c>
      <c r="N30" s="30">
        <f t="shared" si="19"/>
        <v>83511</v>
      </c>
      <c r="O30" s="30">
        <f t="shared" ca="1" si="17"/>
        <v>58.195818815331009</v>
      </c>
      <c r="P30" s="30">
        <f t="shared" ca="1" si="18"/>
        <v>58.195818815331009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143500</v>
      </c>
      <c r="M31" s="497">
        <f t="shared" ca="1" si="20"/>
        <v>143500</v>
      </c>
      <c r="N31" s="497">
        <f t="shared" si="20"/>
        <v>83511</v>
      </c>
      <c r="O31" s="497">
        <f t="shared" ca="1" si="17"/>
        <v>58.195818815331009</v>
      </c>
      <c r="P31" s="497">
        <f t="shared" ca="1" si="18"/>
        <v>58.195818815331009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143500</v>
      </c>
      <c r="M33" s="93">
        <f t="shared" ca="1" si="21"/>
        <v>143500</v>
      </c>
      <c r="N33" s="93">
        <f t="shared" si="21"/>
        <v>83511</v>
      </c>
      <c r="O33" s="93">
        <f t="shared" ca="1" si="17"/>
        <v>58.195818815331009</v>
      </c>
      <c r="P33" s="93">
        <f t="shared" ca="1" si="18"/>
        <v>58.195818815331009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2008525</v>
      </c>
      <c r="M37" s="59">
        <f t="shared" ca="1" si="24"/>
        <v>2034545</v>
      </c>
      <c r="N37" s="59">
        <f t="shared" ca="1" si="24"/>
        <v>1627885.82</v>
      </c>
      <c r="O37" s="59">
        <f t="shared" ca="1" si="17"/>
        <v>81.048820403032082</v>
      </c>
      <c r="P37" s="59">
        <f t="shared" ca="1" si="18"/>
        <v>80.01227891248412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302700</v>
      </c>
      <c r="M41" s="85">
        <f t="shared" ca="1" si="25"/>
        <v>316710</v>
      </c>
      <c r="N41" s="85">
        <f t="shared" ca="1" si="25"/>
        <v>244720</v>
      </c>
      <c r="O41" s="85">
        <f t="shared" ref="O41:O49" ca="1" si="26">IF(L41&gt;0,N41*100/L41,0)</f>
        <v>80.845721836802113</v>
      </c>
      <c r="P41" s="85">
        <f t="shared" ref="P41:P49" ca="1" si="27">IF(M41&gt;0,N41*100/M41,0)</f>
        <v>77.269426289034129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302700</v>
      </c>
      <c r="M43" s="92">
        <f t="shared" ca="1" si="28"/>
        <v>316710</v>
      </c>
      <c r="N43" s="92">
        <f t="shared" ca="1" si="28"/>
        <v>244720</v>
      </c>
      <c r="O43" s="92">
        <f t="shared" ca="1" si="26"/>
        <v>80.845721836802113</v>
      </c>
      <c r="P43" s="92">
        <f t="shared" ca="1" si="27"/>
        <v>77.269426289034129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302700</v>
      </c>
      <c r="M44" s="497">
        <f t="shared" ca="1" si="29"/>
        <v>316710</v>
      </c>
      <c r="N44" s="497">
        <f t="shared" ca="1" si="29"/>
        <v>244720</v>
      </c>
      <c r="O44" s="497">
        <f t="shared" ca="1" si="26"/>
        <v>80.845721836802113</v>
      </c>
      <c r="P44" s="497">
        <f t="shared" ca="1" si="27"/>
        <v>77.269426289034129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IFERROR(__xludf.DUMMYFUNCTION("IMPORTRANGE(""https://docs.google.com/spreadsheets/d/1MeEWN-I1oV_STSDYn1IFDPWt_1FKiwhDph83XaGc0o0/edit?usp=sharing"",""งบพรบ!M71"")"),302700)</f>
        <v>302700</v>
      </c>
      <c r="M46" s="93">
        <f ca="1">IFERROR(__xludf.DUMMYFUNCTION("IMPORTRANGE(""https://docs.google.com/spreadsheets/d/1MeEWN-I1oV_STSDYn1IFDPWt_1FKiwhDph83XaGc0o0/edit?usp=sharing"",""งบพรบ!R71"")"),316710)</f>
        <v>316710</v>
      </c>
      <c r="N46" s="93">
        <f ca="1">IFERROR(__xludf.DUMMYFUNCTION("IMPORTRANGE(""https://docs.google.com/spreadsheets/d/1MeEWN-I1oV_STSDYn1IFDPWt_1FKiwhDph83XaGc0o0/edit?usp=sharing"",""งบพรบ!T71"")"),244720)</f>
        <v>244720</v>
      </c>
      <c r="O46" s="93">
        <f t="shared" ca="1" si="26"/>
        <v>80.845721836802113</v>
      </c>
      <c r="P46" s="93">
        <f t="shared" ca="1" si="27"/>
        <v>77.269426289034129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IFERROR(__xludf.DUMMYFUNCTION("IMPORTRANGE(""https://docs.google.com/spreadsheets/d/1MeEWN-I1oV_STSDYn1IFDPWt_1FKiwhDph83XaGc0o0/edit?usp=sharing"",""งบพรบ!P71"")"),0)</f>
        <v>0</v>
      </c>
      <c r="M49" s="52">
        <f ca="1">IFERROR(__xludf.DUMMYFUNCTION("IMPORTRANGE(""https://docs.google.com/spreadsheets/d/1MeEWN-I1oV_STSDYn1IFDPWt_1FKiwhDph83XaGc0o0/edit?usp=sharing"",""งบพรบ!S71"")"),0)</f>
        <v>0</v>
      </c>
      <c r="N49" s="52">
        <f ca="1">IFERROR(__xludf.DUMMYFUNCTION("IMPORTRANGE(""https://docs.google.com/spreadsheets/d/1MeEWN-I1oV_STSDYn1IFDPWt_1FKiwhDph83XaGc0o0/edit?usp=sharing"",""งบพรบ!U71"")"),0)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887900</v>
      </c>
      <c r="M53" s="116">
        <f t="shared" ca="1" si="31"/>
        <v>887900</v>
      </c>
      <c r="N53" s="116">
        <f t="shared" ca="1" si="31"/>
        <v>748982.87</v>
      </c>
      <c r="O53" s="116">
        <f t="shared" ref="O53:O61" ca="1" si="32">IF(L53&gt;0,N53*100/L53,0)</f>
        <v>84.354417164095054</v>
      </c>
      <c r="P53" s="116">
        <f t="shared" ref="P53:P61" ca="1" si="33">IF(M53&gt;0,N53*100/M53,0)</f>
        <v>84.354417164095054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887900</v>
      </c>
      <c r="M55" s="123">
        <f t="shared" ca="1" si="34"/>
        <v>887900</v>
      </c>
      <c r="N55" s="123">
        <f t="shared" ca="1" si="34"/>
        <v>748982.87</v>
      </c>
      <c r="O55" s="123">
        <f t="shared" ca="1" si="32"/>
        <v>84.354417164095054</v>
      </c>
      <c r="P55" s="123">
        <f t="shared" ca="1" si="33"/>
        <v>84.354417164095054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887900</v>
      </c>
      <c r="M56" s="497">
        <f t="shared" ca="1" si="35"/>
        <v>887900</v>
      </c>
      <c r="N56" s="497">
        <f t="shared" ca="1" si="35"/>
        <v>748982.87</v>
      </c>
      <c r="O56" s="497">
        <f t="shared" ca="1" si="32"/>
        <v>84.354417164095054</v>
      </c>
      <c r="P56" s="497">
        <f t="shared" ca="1" si="33"/>
        <v>84.354417164095054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IFERROR(__xludf.DUMMYFUNCTION("IMPORTRANGE(""https://docs.google.com/spreadsheets/d/1MeEWN-I1oV_STSDYn1IFDPWt_1FKiwhDph83XaGc0o0/edit?usp=sharing"",""งบพรบ!W71"")"),887900)</f>
        <v>887900</v>
      </c>
      <c r="M58" s="93">
        <f ca="1">IFERROR(__xludf.DUMMYFUNCTION("IMPORTRANGE(""https://docs.google.com/spreadsheets/d/1MeEWN-I1oV_STSDYn1IFDPWt_1FKiwhDph83XaGc0o0/edit?usp=sharing"",""งบพรบ!AB71"")"),887900)</f>
        <v>887900</v>
      </c>
      <c r="N58" s="93">
        <f ca="1">IFERROR(__xludf.DUMMYFUNCTION("IMPORTRANGE(""https://docs.google.com/spreadsheets/d/1MeEWN-I1oV_STSDYn1IFDPWt_1FKiwhDph83XaGc0o0/edit?usp=sharing"",""งบพรบ!AD71"")"),748982.87)</f>
        <v>748982.87</v>
      </c>
      <c r="O58" s="93">
        <f t="shared" ca="1" si="32"/>
        <v>84.354417164095054</v>
      </c>
      <c r="P58" s="93">
        <f t="shared" ca="1" si="33"/>
        <v>84.354417164095054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IFERROR(__xludf.DUMMYFUNCTION("IMPORTRANGE(""https://docs.google.com/spreadsheets/d/1MeEWN-I1oV_STSDYn1IFDPWt_1FKiwhDph83XaGc0o0/edit?usp=sharing"",""งบพรบ!Z71"")"),0)</f>
        <v>0</v>
      </c>
      <c r="M61" s="52">
        <f ca="1">IFERROR(__xludf.DUMMYFUNCTION("IMPORTRANGE(""https://docs.google.com/spreadsheets/d/1MeEWN-I1oV_STSDYn1IFDPWt_1FKiwhDph83XaGc0o0/edit?usp=sharing"",""งบพรบ!AC71"")"),0)</f>
        <v>0</v>
      </c>
      <c r="N61" s="52">
        <f ca="1">IFERROR(__xludf.DUMMYFUNCTION("IMPORTRANGE(""https://docs.google.com/spreadsheets/d/1MeEWN-I1oV_STSDYn1IFDPWt_1FKiwhDph83XaGc0o0/edit?usp=sharing"",""งบพรบ!AE71"")"),0)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IFERROR(__xludf.DUMMYFUNCTION("IMPORTRANGE(""https://docs.google.com/spreadsheets/d/1MeEWN-I1oV_STSDYn1IFDPWt_1FKiwhDph83XaGc0o0/edit?usp=sharing"",""งบพรบ!AG71"")"),0)</f>
        <v>0</v>
      </c>
      <c r="M71" s="93">
        <f ca="1">IFERROR(__xludf.DUMMYFUNCTION("IMPORTRANGE(""https://docs.google.com/spreadsheets/d/1MeEWN-I1oV_STSDYn1IFDPWt_1FKiwhDph83XaGc0o0/edit?usp=sharing"",""งบพรบ!AL71"")"),0)</f>
        <v>0</v>
      </c>
      <c r="N71" s="93">
        <f ca="1">IFERROR(__xludf.DUMMYFUNCTION("IMPORTRANGE(""https://docs.google.com/spreadsheets/d/1MeEWN-I1oV_STSDYn1IFDPWt_1FKiwhDph83XaGc0o0/edit?usp=sharing"",""งบพรบ!AN71"")"),0)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IFERROR(__xludf.DUMMYFUNCTION("IMPORTRANGE(""https://docs.google.com/spreadsheets/d/1MeEWN-I1oV_STSDYn1IFDPWt_1FKiwhDph83XaGc0o0/edit?usp=sharing"",""งบพรบ!AJ71"")"),0)</f>
        <v>0</v>
      </c>
      <c r="M74" s="93">
        <f ca="1">IFERROR(__xludf.DUMMYFUNCTION("IMPORTRANGE(""https://docs.google.com/spreadsheets/d/1MeEWN-I1oV_STSDYn1IFDPWt_1FKiwhDph83XaGc0o0/edit?usp=sharing"",""งบพรบ!AM71"")"),0)</f>
        <v>0</v>
      </c>
      <c r="N74" s="93">
        <f ca="1">IFERROR(__xludf.DUMMYFUNCTION("IMPORTRANGE(""https://docs.google.com/spreadsheets/d/1MeEWN-I1oV_STSDYn1IFDPWt_1FKiwhDph83XaGc0o0/edit?usp=sharing"",""งบพรบ!AO71"")"),0)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174500</v>
      </c>
      <c r="N88" s="155">
        <f t="shared" ca="1" si="49"/>
        <v>132967.5</v>
      </c>
      <c r="O88" s="155">
        <f t="shared" ref="O88:O96" ca="1" si="50">IF(L88&gt;0,N88*100/L88,0)</f>
        <v>76.199140401146138</v>
      </c>
      <c r="P88" s="155">
        <f t="shared" ref="P88:P96" ca="1" si="51">IF(M88&gt;0,N88*100/M88,0)</f>
        <v>76.199140401146138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174500</v>
      </c>
      <c r="N90" s="93">
        <f t="shared" ca="1" si="52"/>
        <v>132967.5</v>
      </c>
      <c r="O90" s="93">
        <f t="shared" ca="1" si="50"/>
        <v>76.199140401146138</v>
      </c>
      <c r="P90" s="93">
        <f t="shared" ca="1" si="51"/>
        <v>76.199140401146138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174500</v>
      </c>
      <c r="N91" s="497">
        <f t="shared" ca="1" si="53"/>
        <v>132967.5</v>
      </c>
      <c r="O91" s="497">
        <f t="shared" ca="1" si="50"/>
        <v>76.199140401146138</v>
      </c>
      <c r="P91" s="497">
        <f t="shared" ca="1" si="51"/>
        <v>76.199140401146138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IFERROR(__xludf.DUMMYFUNCTION("IMPORTRANGE(""https://docs.google.com/spreadsheets/d/1MeEWN-I1oV_STSDYn1IFDPWt_1FKiwhDph83XaGc0o0/edit?usp=sharing"",""งบพรบ!AQ71"")"),174500)</f>
        <v>174500</v>
      </c>
      <c r="M93" s="93">
        <f ca="1">IFERROR(__xludf.DUMMYFUNCTION("IMPORTRANGE(""https://docs.google.com/spreadsheets/d/1MeEWN-I1oV_STSDYn1IFDPWt_1FKiwhDph83XaGc0o0/edit?usp=sharing"",""งบพรบ!AV71"")"),174500)</f>
        <v>174500</v>
      </c>
      <c r="N93" s="93">
        <f ca="1">IFERROR(__xludf.DUMMYFUNCTION("IMPORTRANGE(""https://docs.google.com/spreadsheets/d/1MeEWN-I1oV_STSDYn1IFDPWt_1FKiwhDph83XaGc0o0/edit?usp=sharing"",""งบพรบ!AX71"")"),132967.5)</f>
        <v>132967.5</v>
      </c>
      <c r="O93" s="93">
        <f t="shared" ca="1" si="50"/>
        <v>76.199140401146138</v>
      </c>
      <c r="P93" s="93">
        <f t="shared" ca="1" si="51"/>
        <v>76.199140401146138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IFERROR(__xludf.DUMMYFUNCTION("IMPORTRANGE(""https://docs.google.com/spreadsheets/d/1MeEWN-I1oV_STSDYn1IFDPWt_1FKiwhDph83XaGc0o0/edit?usp=sharing"",""งบพรบ!AT71"")"),0)</f>
        <v>0</v>
      </c>
      <c r="M96" s="93">
        <f ca="1">IFERROR(__xludf.DUMMYFUNCTION("IMPORTRANGE(""https://docs.google.com/spreadsheets/d/1MeEWN-I1oV_STSDYn1IFDPWt_1FKiwhDph83XaGc0o0/edit?usp=sharing"",""งบพรบ!AW71"")"),0)</f>
        <v>0</v>
      </c>
      <c r="N96" s="93">
        <f ca="1">IFERROR(__xludf.DUMMYFUNCTION("IMPORTRANGE(""https://docs.google.com/spreadsheets/d/1MeEWN-I1oV_STSDYn1IFDPWt_1FKiwhDph83XaGc0o0/edit?usp=sharing"",""งบพรบ!AY71"")"),0)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IFERROR(__xludf.DUMMYFUNCTION("IMPORTRANGE(""https://docs.google.com/spreadsheets/d/1QqKyyYR6Q21VydFLVH3TRQUabQu_ym0Zz7PgGX0-kHA/edit?usp=sharing"",""แผน!K71"")"),0)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IFERROR(__xludf.DUMMYFUNCTION("IMPORTRANGE(""https://docs.google.com/spreadsheets/d/1QqKyyYR6Q21VydFLVH3TRQUabQu_ym0Zz7PgGX0-kHA/edit?usp=sharing"",""แผน!L71"")"),0)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IFERROR(__xludf.DUMMYFUNCTION("IMPORTRANGE(""https://docs.google.com/spreadsheets/d/1QqKyyYR6Q21VydFLVH3TRQUabQu_ym0Zz7PgGX0-kHA/edit?usp=sharing"",""แผน!M71"")"),1)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IFERROR(__xludf.DUMMYFUNCTION("IMPORTRANGE(""https://docs.google.com/spreadsheets/d/1QqKyyYR6Q21VydFLVH3TRQUabQu_ym0Zz7PgGX0-kHA/edit?usp=sharing"",""แผน!N71"")"),0)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IFERROR(__xludf.DUMMYFUNCTION("IMPORTRANGE(""https://docs.google.com/spreadsheets/d/1QqKyyYR6Q21VydFLVH3TRQUabQu_ym0Zz7PgGX0-kHA/edit?usp=sharing"",""แผน!O71"")"),0)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IFERROR(__xludf.DUMMYFUNCTION("IMPORTRANGE(""https://docs.google.com/spreadsheets/d/1QqKyyYR6Q21VydFLVH3TRQUabQu_ym0Zz7PgGX0-kHA/edit?usp=sharing"",""แผน!O71"")"),0)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IFERROR(__xludf.DUMMYFUNCTION("IMPORTRANGE(""https://docs.google.com/spreadsheets/d/1QqKyyYR6Q21VydFLVH3TRQUabQu_ym0Zz7PgGX0-kHA/edit?usp=sharing"",""แผน!P71"")"),0)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IFERROR(__xludf.DUMMYFUNCTION("IMPORTRANGE(""https://docs.google.com/spreadsheets/d/1QqKyyYR6Q21VydFLVH3TRQUabQu_ym0Zz7PgGX0-kHA/edit?usp=sharing"",""แผน!P71"")"),0)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IFERROR(__xludf.DUMMYFUNCTION("IMPORTRANGE(""https://docs.google.com/spreadsheets/d/1QqKyyYR6Q21VydFLVH3TRQUabQu_ym0Zz7PgGX0-kHA/edit?usp=sharing"",""แผน!R71"")"),0)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IFERROR(__xludf.DUMMYFUNCTION("IMPORTRANGE(""https://docs.google.com/spreadsheets/d/1QqKyyYR6Q21VydFLVH3TRQUabQu_ym0Zz7PgGX0-kHA/edit?usp=sharing"",""แผน!R71"")"),0)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IFERROR(__xludf.DUMMYFUNCTION("IMPORTRANGE(""https://docs.google.com/spreadsheets/d/1QqKyyYR6Q21VydFLVH3TRQUabQu_ym0Zz7PgGX0-kHA/edit?usp=sharing"",""แผน!R71"")"),0)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IFERROR(__xludf.DUMMYFUNCTION("IMPORTRANGE(""https://docs.google.com/spreadsheets/d/1QqKyyYR6Q21VydFLVH3TRQUabQu_ym0Zz7PgGX0-kHA/edit?usp=sharing"",""แผน!S71"")"),0)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IFERROR(__xludf.DUMMYFUNCTION("IMPORTRANGE(""https://docs.google.com/spreadsheets/d/1MeEWN-I1oV_STSDYn1IFDPWt_1FKiwhDph83XaGc0o0/edit?usp=sharing"",""งบพรบ!BA71"")"),0)</f>
        <v>0</v>
      </c>
      <c r="M124" s="93">
        <f ca="1">IFERROR(__xludf.DUMMYFUNCTION("IMPORTRANGE(""https://docs.google.com/spreadsheets/d/1MeEWN-I1oV_STSDYn1IFDPWt_1FKiwhDph83XaGc0o0/edit?usp=sharing"",""งบพรบ!BF71"")"),0)</f>
        <v>0</v>
      </c>
      <c r="N124" s="93">
        <f ca="1">IFERROR(__xludf.DUMMYFUNCTION("IMPORTRANGE(""https://docs.google.com/spreadsheets/d/1MeEWN-I1oV_STSDYn1IFDPWt_1FKiwhDph83XaGc0o0/edit?usp=sharing"",""งบพรบ!BH71"")"),0)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IFERROR(__xludf.DUMMYFUNCTION("IMPORTRANGE(""https://docs.google.com/spreadsheets/d/1MeEWN-I1oV_STSDYn1IFDPWt_1FKiwhDph83XaGc0o0/edit?usp=sharing"",""งบพรบ!BD71"")"),0)</f>
        <v>0</v>
      </c>
      <c r="M127" s="93">
        <f ca="1">IFERROR(__xludf.DUMMYFUNCTION("IMPORTRANGE(""https://docs.google.com/spreadsheets/d/1MeEWN-I1oV_STSDYn1IFDPWt_1FKiwhDph83XaGc0o0/edit?usp=sharing"",""งบพรบ!BG71"")"),0)</f>
        <v>0</v>
      </c>
      <c r="N127" s="93">
        <f ca="1">IFERROR(__xludf.DUMMYFUNCTION("IMPORTRANGE(""https://docs.google.com/spreadsheets/d/1MeEWN-I1oV_STSDYn1IFDPWt_1FKiwhDph83XaGc0o0/edit?usp=sharing"",""งบพรบ!BI71"")"),0)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IFERROR(__xludf.DUMMYFUNCTION("IMPORTRANGE(""https://docs.google.com/spreadsheets/d/1MeEWN-I1oV_STSDYn1IFDPWt_1FKiwhDph83XaGc0o0/edit?usp=sharing"",""งบพรบ!BK71"")"),0)</f>
        <v>0</v>
      </c>
      <c r="M137" s="93">
        <f ca="1">IFERROR(__xludf.DUMMYFUNCTION("IMPORTRANGE(""https://docs.google.com/spreadsheets/d/1MeEWN-I1oV_STSDYn1IFDPWt_1FKiwhDph83XaGc0o0/edit?usp=sharing"",""งบพรบ!BP71"")"),0)</f>
        <v>0</v>
      </c>
      <c r="N137" s="93">
        <f ca="1">IFERROR(__xludf.DUMMYFUNCTION("IMPORTRANGE(""https://docs.google.com/spreadsheets/d/1MeEWN-I1oV_STSDYn1IFDPWt_1FKiwhDph83XaGc0o0/edit?usp=sharing"",""งบพรบ!BR71"")"),0)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IFERROR(__xludf.DUMMYFUNCTION("IMPORTRANGE(""https://docs.google.com/spreadsheets/d/1MeEWN-I1oV_STSDYn1IFDPWt_1FKiwhDph83XaGc0o0/edit?usp=sharing"",""งบพรบ!BN71"")"),0)</f>
        <v>0</v>
      </c>
      <c r="M140" s="93">
        <f ca="1">IFERROR(__xludf.DUMMYFUNCTION("IMPORTRANGE(""https://docs.google.com/spreadsheets/d/1MeEWN-I1oV_STSDYn1IFDPWt_1FKiwhDph83XaGc0o0/edit?usp=sharing"",""งบพรบ!BQ71"")"),0)</f>
        <v>0</v>
      </c>
      <c r="N140" s="93">
        <f ca="1">IFERROR(__xludf.DUMMYFUNCTION("IMPORTRANGE(""https://docs.google.com/spreadsheets/d/1MeEWN-I1oV_STSDYn1IFDPWt_1FKiwhDph83XaGc0o0/edit?usp=sharing"",""งบพรบ!BS71"")"),0)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IFERROR(__xludf.DUMMYFUNCTION("IMPORTRANGE(""https://docs.google.com/spreadsheets/d/1MeEWN-I1oV_STSDYn1IFDPWt_1FKiwhDph83XaGc0o0/edit?usp=sharing"",""งบพรบ!BU71"")"),0)</f>
        <v>0</v>
      </c>
      <c r="M154" s="93">
        <f ca="1">IFERROR(__xludf.DUMMYFUNCTION("IMPORTRANGE(""https://docs.google.com/spreadsheets/d/1MeEWN-I1oV_STSDYn1IFDPWt_1FKiwhDph83XaGc0o0/edit?usp=sharing"",""งบพรบ!BZ71"")"),0)</f>
        <v>0</v>
      </c>
      <c r="N154" s="93">
        <f ca="1">IFERROR(__xludf.DUMMYFUNCTION("IMPORTRANGE(""https://docs.google.com/spreadsheets/d/1MeEWN-I1oV_STSDYn1IFDPWt_1FKiwhDph83XaGc0o0/edit?usp=sharing"",""งบพรบ!CB71"")"),0)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IFERROR(__xludf.DUMMYFUNCTION("IMPORTRANGE(""https://docs.google.com/spreadsheets/d/1MeEWN-I1oV_STSDYn1IFDPWt_1FKiwhDph83XaGc0o0/edit?usp=sharing"",""งบพรบ!BX71"")"),0)</f>
        <v>0</v>
      </c>
      <c r="M157" s="93">
        <f ca="1">IFERROR(__xludf.DUMMYFUNCTION("IMPORTRANGE(""https://docs.google.com/spreadsheets/d/1MeEWN-I1oV_STSDYn1IFDPWt_1FKiwhDph83XaGc0o0/edit?usp=sharing"",""งบพรบ!CA71"")"),0)</f>
        <v>0</v>
      </c>
      <c r="N157" s="93">
        <f ca="1">IFERROR(__xludf.DUMMYFUNCTION("IMPORTRANGE(""https://docs.google.com/spreadsheets/d/1MeEWN-I1oV_STSDYn1IFDPWt_1FKiwhDph83XaGc0o0/edit?usp=sharing"",""งบพรบ!CC71"")"),0)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32325</v>
      </c>
      <c r="N165" s="155">
        <f t="shared" ca="1" si="84"/>
        <v>32325</v>
      </c>
      <c r="O165" s="155">
        <f t="shared" ref="O165:O173" ca="1" si="85">IF(L165&gt;0,N165*100/L165,0)</f>
        <v>146.56540467014281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32325</v>
      </c>
      <c r="N167" s="93">
        <f t="shared" ca="1" si="87"/>
        <v>32325</v>
      </c>
      <c r="O167" s="93">
        <f t="shared" ca="1" si="85"/>
        <v>146.56540467014281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32325</v>
      </c>
      <c r="N168" s="497">
        <f t="shared" ca="1" si="88"/>
        <v>32325</v>
      </c>
      <c r="O168" s="497">
        <f t="shared" ca="1" si="85"/>
        <v>146.56540467014281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IFERROR(__xludf.DUMMYFUNCTION("IMPORTRANGE(""https://docs.google.com/spreadsheets/d/1MeEWN-I1oV_STSDYn1IFDPWt_1FKiwhDph83XaGc0o0/edit?usp=sharing"",""งบพรบ!CE71"")"),22055)</f>
        <v>22055</v>
      </c>
      <c r="M170" s="93">
        <f ca="1">IFERROR(__xludf.DUMMYFUNCTION("IMPORTRANGE(""https://docs.google.com/spreadsheets/d/1MeEWN-I1oV_STSDYn1IFDPWt_1FKiwhDph83XaGc0o0/edit?usp=sharing"",""งบพรบ!CJ71"")"),32325)</f>
        <v>32325</v>
      </c>
      <c r="N170" s="93">
        <f ca="1">IFERROR(__xludf.DUMMYFUNCTION("IMPORTRANGE(""https://docs.google.com/spreadsheets/d/1MeEWN-I1oV_STSDYn1IFDPWt_1FKiwhDph83XaGc0o0/edit?usp=sharing"",""งบพรบ!CL71"")"),32325)</f>
        <v>32325</v>
      </c>
      <c r="O170" s="93">
        <f t="shared" ca="1" si="85"/>
        <v>146.56540467014281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IFERROR(__xludf.DUMMYFUNCTION("IMPORTRANGE(""https://docs.google.com/spreadsheets/d/1MeEWN-I1oV_STSDYn1IFDPWt_1FKiwhDph83XaGc0o0/edit?usp=sharing"",""งบพรบ!CH71"")"),0)</f>
        <v>0</v>
      </c>
      <c r="M173" s="93">
        <f ca="1">IFERROR(__xludf.DUMMYFUNCTION("IMPORTRANGE(""https://docs.google.com/spreadsheets/d/1MeEWN-I1oV_STSDYn1IFDPWt_1FKiwhDph83XaGc0o0/edit?usp=sharing"",""งบพรบ!CK71"")"),0)</f>
        <v>0</v>
      </c>
      <c r="N173" s="93">
        <f ca="1">IFERROR(__xludf.DUMMYFUNCTION("IMPORTRANGE(""https://docs.google.com/spreadsheets/d/1MeEWN-I1oV_STSDYn1IFDPWt_1FKiwhDph83XaGc0o0/edit?usp=sharing"",""งบพรบ!CM71"")"),0)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12500</v>
      </c>
      <c r="M181" s="155">
        <f t="shared" ca="1" si="92"/>
        <v>12500</v>
      </c>
      <c r="N181" s="155">
        <f t="shared" ca="1" si="92"/>
        <v>4472</v>
      </c>
      <c r="O181" s="155">
        <f t="shared" ref="O181:O189" ca="1" si="93">IF(L181&gt;0,N181*100/L181,0)</f>
        <v>35.776000000000003</v>
      </c>
      <c r="P181" s="155">
        <f t="shared" ref="P181:P189" ca="1" si="94">IF(M181&gt;0,N181*100/M181,0)</f>
        <v>35.776000000000003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12500</v>
      </c>
      <c r="M183" s="93">
        <f t="shared" ca="1" si="95"/>
        <v>12500</v>
      </c>
      <c r="N183" s="93">
        <f t="shared" ca="1" si="95"/>
        <v>4472</v>
      </c>
      <c r="O183" s="93">
        <f t="shared" ca="1" si="93"/>
        <v>35.776000000000003</v>
      </c>
      <c r="P183" s="93">
        <f t="shared" ca="1" si="94"/>
        <v>35.776000000000003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12500</v>
      </c>
      <c r="M184" s="497">
        <f t="shared" ca="1" si="96"/>
        <v>12500</v>
      </c>
      <c r="N184" s="497">
        <f t="shared" ca="1" si="96"/>
        <v>4472</v>
      </c>
      <c r="O184" s="497">
        <f t="shared" ca="1" si="93"/>
        <v>35.776000000000003</v>
      </c>
      <c r="P184" s="497">
        <f t="shared" ca="1" si="94"/>
        <v>35.776000000000003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IFERROR(__xludf.DUMMYFUNCTION("IMPORTRANGE(""https://docs.google.com/spreadsheets/d/1MeEWN-I1oV_STSDYn1IFDPWt_1FKiwhDph83XaGc0o0/edit?usp=sharing"",""งบพรบ!CO71"")"),12500)</f>
        <v>12500</v>
      </c>
      <c r="M186" s="93">
        <f ca="1">IFERROR(__xludf.DUMMYFUNCTION("IMPORTRANGE(""https://docs.google.com/spreadsheets/d/1MeEWN-I1oV_STSDYn1IFDPWt_1FKiwhDph83XaGc0o0/edit?usp=sharing"",""งบพรบ!CT71"")"),12500)</f>
        <v>12500</v>
      </c>
      <c r="N186" s="93">
        <f ca="1">IFERROR(__xludf.DUMMYFUNCTION("IMPORTRANGE(""https://docs.google.com/spreadsheets/d/1MeEWN-I1oV_STSDYn1IFDPWt_1FKiwhDph83XaGc0o0/edit?usp=sharing"",""งบพรบ!CV71"")"),4472)</f>
        <v>4472</v>
      </c>
      <c r="O186" s="93">
        <f t="shared" ca="1" si="93"/>
        <v>35.776000000000003</v>
      </c>
      <c r="P186" s="93">
        <f t="shared" ca="1" si="94"/>
        <v>35.776000000000003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IFERROR(__xludf.DUMMYFUNCTION("IMPORTRANGE(""https://docs.google.com/spreadsheets/d/1MeEWN-I1oV_STSDYn1IFDPWt_1FKiwhDph83XaGc0o0/edit?usp=sharing"",""งบพรบ!CR71"")"),0)</f>
        <v>0</v>
      </c>
      <c r="M189" s="93">
        <f ca="1">IFERROR(__xludf.DUMMYFUNCTION("IMPORTRANGE(""https://docs.google.com/spreadsheets/d/1MeEWN-I1oV_STSDYn1IFDPWt_1FKiwhDph83XaGc0o0/edit?usp=sharing"",""งบพรบ!CU71"")"),0)</f>
        <v>0</v>
      </c>
      <c r="N189" s="93">
        <f ca="1">IFERROR(__xludf.DUMMYFUNCTION("IMPORTRANGE(""https://docs.google.com/spreadsheets/d/1MeEWN-I1oV_STSDYn1IFDPWt_1FKiwhDph83XaGc0o0/edit?usp=sharing"",""งบพรบ!CW71"")"),0)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IFERROR(__xludf.DUMMYFUNCTION("IMPORTRANGE(""https://docs.google.com/spreadsheets/d/1QqKyyYR6Q21VydFLVH3TRQUabQu_ym0Zz7PgGX0-kHA/edit?usp=sharing"",""แผน!Z71"")"),6000)</f>
        <v>6000</v>
      </c>
      <c r="M191" s="155"/>
      <c r="N191" s="276">
        <v>4472</v>
      </c>
      <c r="O191" s="155">
        <f ca="1">IF(L191&gt;0,N191*100/L191,0)</f>
        <v>74.533333333333331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IFERROR(__xludf.DUMMYFUNCTION("IMPORTRANGE(""https://docs.google.com/spreadsheets/d/1QqKyyYR6Q21VydFLVH3TRQUabQu_ym0Zz7PgGX0-kHA/edit?usp=sharing"",""แผน!AE71"")"),0)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IFERROR(__xludf.DUMMYFUNCTION("IMPORTRANGE(""https://docs.google.com/spreadsheets/d/1QqKyyYR6Q21VydFLVH3TRQUabQu_ym0Zz7PgGX0-kHA/edit?usp=sharing"",""แผน!AF71"")"),0)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IFERROR(__xludf.DUMMYFUNCTION("IMPORTRANGE(""https://docs.google.com/spreadsheets/d/1QqKyyYR6Q21VydFLVH3TRQUabQu_ym0Zz7PgGX0-kHA/edit?usp=sharing"",""แผน!AG71"")"),0)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IFERROR(__xludf.DUMMYFUNCTION("IMPORTRANGE(""https://docs.google.com/spreadsheets/d/1QqKyyYR6Q21VydFLVH3TRQUabQu_ym0Zz7PgGX0-kHA/edit?usp=sharing"",""แผน!AI71"")"),0)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IFERROR(__xludf.DUMMYFUNCTION("IMPORTRANGE(""https://docs.google.com/spreadsheets/d/1QqKyyYR6Q21VydFLVH3TRQUabQu_ym0Zz7PgGX0-kHA/edit?usp=sharing"",""แผน!AN71"")"),0)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IFERROR(__xludf.DUMMYFUNCTION("IMPORTRANGE(""https://docs.google.com/spreadsheets/d/1QqKyyYR6Q21VydFLVH3TRQUabQu_ym0Zz7PgGX0-kHA/edit?usp=sharing"",""แผน!AN71"")"),0)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10000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IFERROR(__xludf.DUMMYFUNCTION("IMPORTRANGE(""https://docs.google.com/spreadsheets/d/1QqKyyYR6Q21VydFLVH3TRQUabQu_ym0Zz7PgGX0-kHA/edit?usp=sharing"",""แผน!AQ71"")"),3500)</f>
        <v>3500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IFERROR(__xludf.DUMMYFUNCTION("IMPORTRANGE(""https://docs.google.com/spreadsheets/d/1QqKyyYR6Q21VydFLVH3TRQUabQu_ym0Zz7PgGX0-kHA/edit?usp=sharing"",""แผน!AT71"")"),10000)</f>
        <v>10000</v>
      </c>
      <c r="J223" s="215">
        <v>10000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IFERROR(__xludf.DUMMYFUNCTION("IMPORTRANGE(""https://docs.google.com/spreadsheets/d/1QqKyyYR6Q21VydFLVH3TRQUabQu_ym0Zz7PgGX0-kHA/edit?usp=sharing"",""แผน!AT71"")"),10000)</f>
        <v>10000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IFERROR(__xludf.DUMMYFUNCTION("IMPORTRANGE(""https://docs.google.com/spreadsheets/d/1QqKyyYR6Q21VydFLVH3TRQUabQu_ym0Zz7PgGX0-kHA/edit?usp=sharing"",""แผน!AS71"")"),0)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IFERROR(__xludf.DUMMYFUNCTION("IMPORTRANGE(""https://docs.google.com/spreadsheets/d/1QqKyyYR6Q21VydFLVH3TRQUabQu_ym0Zz7PgGX0-kHA/edit?usp=sharing"",""แผน!AV71"")"),0)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IFERROR(__xludf.DUMMYFUNCTION("IMPORTRANGE(""https://docs.google.com/spreadsheets/d/1QqKyyYR6Q21VydFLVH3TRQUabQu_ym0Zz7PgGX0-kHA/edit?usp=sharing"",""แผน!AW71"")"),0)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IFERROR(__xludf.DUMMYFUNCTION("IMPORTRANGE(""https://docs.google.com/spreadsheets/d/1QqKyyYR6Q21VydFLVH3TRQUabQu_ym0Zz7PgGX0-kHA/edit?usp=sharing"",""แผน!AX71"")"),0)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IFERROR(__xludf.DUMMYFUNCTION("IMPORTRANGE(""https://docs.google.com/spreadsheets/d/1QqKyyYR6Q21VydFLVH3TRQUabQu_ym0Zz7PgGX0-kHA/edit?usp=sharing"",""แผน!AY71"")"),0)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IFERROR(__xludf.DUMMYFUNCTION("IMPORTRANGE(""https://docs.google.com/spreadsheets/d/1QqKyyYR6Q21VydFLVH3TRQUabQu_ym0Zz7PgGX0-kHA/edit?usp=sharing"",""แผน!AZ71"")"),0)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IFERROR(__xludf.DUMMYFUNCTION("IMPORTRANGE(""https://docs.google.com/spreadsheets/d/1QqKyyYR6Q21VydFLVH3TRQUabQu_ym0Zz7PgGX0-kHA/edit?usp=sharing"",""แผน!BA71"")"),0)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IFERROR(__xludf.DUMMYFUNCTION("IMPORTRANGE(""https://docs.google.com/spreadsheets/d/1QqKyyYR6Q21VydFLVH3TRQUabQu_ym0Zz7PgGX0-kHA/edit?usp=sharing"",""แผน!BB71"")"),0)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IFERROR(__xludf.DUMMYFUNCTION("IMPORTRANGE(""https://docs.google.com/spreadsheets/d/1QqKyyYR6Q21VydFLVH3TRQUabQu_ym0Zz7PgGX0-kHA/edit?usp=sharing"",""แผน!BC71"")"),0)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158500</v>
      </c>
      <c r="N261" s="155">
        <f t="shared" ca="1" si="115"/>
        <v>126011.68</v>
      </c>
      <c r="O261" s="155">
        <f t="shared" ref="O261:O269" ca="1" si="116">IF(L261&gt;0,N261*100/L261,0)</f>
        <v>79.502637223974759</v>
      </c>
      <c r="P261" s="155">
        <f t="shared" ref="P261:P269" ca="1" si="117">IF(M261&gt;0,N261*100/M261,0)</f>
        <v>79.502637223974759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158500</v>
      </c>
      <c r="N263" s="93">
        <f t="shared" ca="1" si="118"/>
        <v>126011.68</v>
      </c>
      <c r="O263" s="93">
        <f t="shared" ca="1" si="116"/>
        <v>79.502637223974759</v>
      </c>
      <c r="P263" s="93">
        <f t="shared" ca="1" si="117"/>
        <v>79.502637223974759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158500</v>
      </c>
      <c r="N264" s="497">
        <f t="shared" ca="1" si="119"/>
        <v>126011.68</v>
      </c>
      <c r="O264" s="497">
        <f t="shared" ca="1" si="116"/>
        <v>79.502637223974759</v>
      </c>
      <c r="P264" s="497">
        <f t="shared" ca="1" si="117"/>
        <v>79.502637223974759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IFERROR(__xludf.DUMMYFUNCTION("IMPORTRANGE(""https://docs.google.com/spreadsheets/d/1MeEWN-I1oV_STSDYn1IFDPWt_1FKiwhDph83XaGc0o0/edit?usp=sharing"",""งบพรบ!CY71"")"),158500)</f>
        <v>158500</v>
      </c>
      <c r="M266" s="93">
        <f ca="1">IFERROR(__xludf.DUMMYFUNCTION("IMPORTRANGE(""https://docs.google.com/spreadsheets/d/1MeEWN-I1oV_STSDYn1IFDPWt_1FKiwhDph83XaGc0o0/edit?usp=sharing"",""งบพรบ!DD71"")"),158500)</f>
        <v>158500</v>
      </c>
      <c r="N266" s="93">
        <f ca="1">IFERROR(__xludf.DUMMYFUNCTION("IMPORTRANGE(""https://docs.google.com/spreadsheets/d/1MeEWN-I1oV_STSDYn1IFDPWt_1FKiwhDph83XaGc0o0/edit?usp=sharing"",""งบพรบ!DF71"")"),126011.68)</f>
        <v>126011.68</v>
      </c>
      <c r="O266" s="93">
        <f t="shared" ca="1" si="116"/>
        <v>79.502637223974759</v>
      </c>
      <c r="P266" s="93">
        <f t="shared" ca="1" si="117"/>
        <v>79.502637223974759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IFERROR(__xludf.DUMMYFUNCTION("IMPORTRANGE(""https://docs.google.com/spreadsheets/d/1MeEWN-I1oV_STSDYn1IFDPWt_1FKiwhDph83XaGc0o0/edit?usp=sharing"",""งบพรบ!DB71"")"),0)</f>
        <v>0</v>
      </c>
      <c r="M269" s="93">
        <f ca="1">IFERROR(__xludf.DUMMYFUNCTION("IMPORTRANGE(""https://docs.google.com/spreadsheets/d/1MeEWN-I1oV_STSDYn1IFDPWt_1FKiwhDph83XaGc0o0/edit?usp=sharing"",""งบพรบ!DE71"")"),0)</f>
        <v>0</v>
      </c>
      <c r="N269" s="93">
        <f ca="1">IFERROR(__xludf.DUMMYFUNCTION("IMPORTRANGE(""https://docs.google.com/spreadsheets/d/1MeEWN-I1oV_STSDYn1IFDPWt_1FKiwhDph83XaGc0o0/edit?usp=sharing"",""งบพรบ!DG71"")"),0)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IFERROR(__xludf.DUMMYFUNCTION("IMPORTRANGE(""https://docs.google.com/spreadsheets/d/1QqKyyYR6Q21VydFLVH3TRQUabQu_ym0Zz7PgGX0-kHA/edit?usp=sharing"",""แผน!EA71"")"),10)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IFERROR(__xludf.DUMMYFUNCTION("IMPORTRANGE(""https://docs.google.com/spreadsheets/d/1MeEWN-I1oV_STSDYn1IFDPWt_1FKiwhDph83XaGc0o0/edit?usp=sharing"",""งบพรบ!DI71"")"),0)</f>
        <v>0</v>
      </c>
      <c r="M282" s="93">
        <f ca="1">IFERROR(__xludf.DUMMYFUNCTION("IMPORTRANGE(""https://docs.google.com/spreadsheets/d/1MeEWN-I1oV_STSDYn1IFDPWt_1FKiwhDph83XaGc0o0/edit?usp=sharing"",""งบพรบ!DN71"")"),0)</f>
        <v>0</v>
      </c>
      <c r="N282" s="93">
        <f ca="1">IFERROR(__xludf.DUMMYFUNCTION("IMPORTRANGE(""https://docs.google.com/spreadsheets/d/1MeEWN-I1oV_STSDYn1IFDPWt_1FKiwhDph83XaGc0o0/edit?usp=sharing"",""งบพรบ!DP71"")"),0)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IFERROR(__xludf.DUMMYFUNCTION("IMPORTRANGE(""https://docs.google.com/spreadsheets/d/1MeEWN-I1oV_STSDYn1IFDPWt_1FKiwhDph83XaGc0o0/edit?usp=sharing"",""งบพรบ!DL71"")"),0)</f>
        <v>0</v>
      </c>
      <c r="M285" s="93">
        <f ca="1">IFERROR(__xludf.DUMMYFUNCTION("IMPORTRANGE(""https://docs.google.com/spreadsheets/d/1MeEWN-I1oV_STSDYn1IFDPWt_1FKiwhDph83XaGc0o0/edit?usp=sharing"",""งบพรบ!DO71"")"),0)</f>
        <v>0</v>
      </c>
      <c r="N285" s="93">
        <f ca="1">IFERROR(__xludf.DUMMYFUNCTION("IMPORTRANGE(""https://docs.google.com/spreadsheets/d/1MeEWN-I1oV_STSDYn1IFDPWt_1FKiwhDph83XaGc0o0/edit?usp=sharing"",""งบพรบ!DQ71"")"),0)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IFERROR(__xludf.DUMMYFUNCTION("IMPORTRANGE(""https://docs.google.com/spreadsheets/d/1QqKyyYR6Q21VydFLVH3TRQUabQu_ym0Zz7PgGX0-kHA/edit?usp=sharing"",""แผน!EC71"")"),0)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IFERROR(__xludf.DUMMYFUNCTION("IMPORTRANGE(""https://docs.google.com/spreadsheets/d/1QqKyyYR6Q21VydFLVH3TRQUabQu_ym0Zz7PgGX0-kHA/edit?usp=sharing"",""แผน!EB71"")"),0)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IFERROR(__xludf.DUMMYFUNCTION("IMPORTRANGE(""https://docs.google.com/spreadsheets/d/1QqKyyYR6Q21VydFLVH3TRQUabQu_ym0Zz7PgGX0-kHA/edit?usp=sharing"",""แผน!EB71"")"),0)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IFERROR(__xludf.DUMMYFUNCTION("IMPORTRANGE(""https://docs.google.com/spreadsheets/d/1QqKyyYR6Q21VydFLVH3TRQUabQu_ym0Zz7PgGX0-kHA/edit?usp=sharing"",""แผน!EB71"")"),0)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IFERROR(__xludf.DUMMYFUNCTION("IMPORTRANGE(""https://docs.google.com/spreadsheets/d/1QqKyyYR6Q21VydFLVH3TRQUabQu_ym0Zz7PgGX0-kHA/edit?usp=sharing"",""แผน!EB71"")"),0)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IFERROR(__xludf.DUMMYFUNCTION("IMPORTRANGE(""https://docs.google.com/spreadsheets/d/1QqKyyYR6Q21VydFLVH3TRQUabQu_ym0Zz7PgGX0-kHA/edit?usp=sharing"",""แผน!EB71"")"),0)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IFERROR(__xludf.DUMMYFUNCTION("IMPORTRANGE(""https://docs.google.com/spreadsheets/d/1MeEWN-I1oV_STSDYn1IFDPWt_1FKiwhDph83XaGc0o0/edit?usp=sharing"",""งบพรบ!DS71"")"),0)</f>
        <v>0</v>
      </c>
      <c r="M303" s="93">
        <f ca="1">IFERROR(__xludf.DUMMYFUNCTION("IMPORTRANGE(""https://docs.google.com/spreadsheets/d/1MeEWN-I1oV_STSDYn1IFDPWt_1FKiwhDph83XaGc0o0/edit?usp=sharing"",""งบพรบ!DX71"")"),0)</f>
        <v>0</v>
      </c>
      <c r="N303" s="93">
        <f ca="1">IFERROR(__xludf.DUMMYFUNCTION("IMPORTRANGE(""https://docs.google.com/spreadsheets/d/1MeEWN-I1oV_STSDYn1IFDPWt_1FKiwhDph83XaGc0o0/edit?usp=sharing"",""งบพรบ!DZ71"")"),0)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IFERROR(__xludf.DUMMYFUNCTION("IMPORTRANGE(""https://docs.google.com/spreadsheets/d/1MeEWN-I1oV_STSDYn1IFDPWt_1FKiwhDph83XaGc0o0/edit?usp=sharing"",""งบพรบ!DV71"")"),0)</f>
        <v>0</v>
      </c>
      <c r="M306" s="93">
        <f ca="1">IFERROR(__xludf.DUMMYFUNCTION("IMPORTRANGE(""https://docs.google.com/spreadsheets/d/1MeEWN-I1oV_STSDYn1IFDPWt_1FKiwhDph83XaGc0o0/edit?usp=sharing"",""งบพรบ!DY71"")"),0)</f>
        <v>0</v>
      </c>
      <c r="N306" s="93">
        <f ca="1">IFERROR(__xludf.DUMMYFUNCTION("IMPORTRANGE(""https://docs.google.com/spreadsheets/d/1MeEWN-I1oV_STSDYn1IFDPWt_1FKiwhDph83XaGc0o0/edit?usp=sharing"",""งบพรบ!EA71"")"),0)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IFERROR(__xludf.DUMMYFUNCTION("IMPORTRANGE(""https://docs.google.com/spreadsheets/d/1QqKyyYR6Q21VydFLVH3TRQUabQu_ym0Zz7PgGX0-kHA/edit?usp=sharing"",""แผน!ED71"")"),0)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IFERROR(__xludf.DUMMYFUNCTION("IMPORTRANGE(""https://docs.google.com/spreadsheets/d/1QqKyyYR6Q21VydFLVH3TRQUabQu_ym0Zz7PgGX0-kHA/edit?usp=sharing"",""แผน!ED71"")"),0)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IFERROR(__xludf.DUMMYFUNCTION("IMPORTRANGE(""https://docs.google.com/spreadsheets/d/1QqKyyYR6Q21VydFLVH3TRQUabQu_ym0Zz7PgGX0-kHA/edit?usp=sharing"",""แผน!ED71"")"),0)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IFERROR(__xludf.DUMMYFUNCTION("IMPORTRANGE(""https://docs.google.com/spreadsheets/d/1QqKyyYR6Q21VydFLVH3TRQUabQu_ym0Zz7PgGX0-kHA/edit?usp=sharing"",""แผน!EE71"")"),0)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IFERROR(__xludf.DUMMYFUNCTION("IMPORTRANGE(""https://docs.google.com/spreadsheets/d/1MeEWN-I1oV_STSDYn1IFDPWt_1FKiwhDph83XaGc0o0/edit?usp=sharing"",""งบพรบ!EC71"")"),0)</f>
        <v>0</v>
      </c>
      <c r="M320" s="93">
        <f ca="1">IFERROR(__xludf.DUMMYFUNCTION("IMPORTRANGE(""https://docs.google.com/spreadsheets/d/1MeEWN-I1oV_STSDYn1IFDPWt_1FKiwhDph83XaGc0o0/edit?usp=sharing"",""งบพรบ!EH71"")"),0)</f>
        <v>0</v>
      </c>
      <c r="N320" s="93">
        <f ca="1">IFERROR(__xludf.DUMMYFUNCTION("IMPORTRANGE(""https://docs.google.com/spreadsheets/d/1MeEWN-I1oV_STSDYn1IFDPWt_1FKiwhDph83XaGc0o0/edit?usp=sharing"",""งบพรบ!EJ71"")"),0)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IFERROR(__xludf.DUMMYFUNCTION("IMPORTRANGE(""https://docs.google.com/spreadsheets/d/1MeEWN-I1oV_STSDYn1IFDPWt_1FKiwhDph83XaGc0o0/edit?usp=sharing"",""งบพรบ!EF71"")"),0)</f>
        <v>0</v>
      </c>
      <c r="M323" s="93">
        <f ca="1">IFERROR(__xludf.DUMMYFUNCTION("IMPORTRANGE(""https://docs.google.com/spreadsheets/d/1MeEWN-I1oV_STSDYn1IFDPWt_1FKiwhDph83XaGc0o0/edit?usp=sharing"",""งบพรบ!EI71"")"),0)</f>
        <v>0</v>
      </c>
      <c r="N323" s="93">
        <f ca="1">IFERROR(__xludf.DUMMYFUNCTION("IMPORTRANGE(""https://docs.google.com/spreadsheets/d/1MeEWN-I1oV_STSDYn1IFDPWt_1FKiwhDph83XaGc0o0/edit?usp=sharing"",""งบพรบ!EK71"")"),0)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IFERROR(__xludf.DUMMYFUNCTION("IMPORTRANGE(""https://docs.google.com/spreadsheets/d/1QqKyyYR6Q21VydFLVH3TRQUabQu_ym0Zz7PgGX0-kHA/edit?usp=sharing"",""แผน!EG71"")"),50)</f>
        <v>50</v>
      </c>
      <c r="J327" s="444">
        <f ca="1">J338+J341+J342+J343</f>
        <v>42</v>
      </c>
      <c r="K327" s="445">
        <f ca="1">IF(I327&gt;0,J327*100/I327,0)</f>
        <v>84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356100</v>
      </c>
      <c r="N328" s="155">
        <f t="shared" ca="1" si="148"/>
        <v>261666.77</v>
      </c>
      <c r="O328" s="155">
        <f t="shared" ref="O328:O336" ca="1" si="149">IF(L328&gt;0,N328*100/L328,0)</f>
        <v>74.000783371040725</v>
      </c>
      <c r="P328" s="155">
        <f t="shared" ref="P328:P336" ca="1" si="150">IF(M328&gt;0,N328*100/M328,0)</f>
        <v>73.481260881774787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356100</v>
      </c>
      <c r="N330" s="93">
        <f t="shared" ca="1" si="151"/>
        <v>261666.77</v>
      </c>
      <c r="O330" s="93">
        <f t="shared" ca="1" si="149"/>
        <v>74.000783371040725</v>
      </c>
      <c r="P330" s="93">
        <f t="shared" ca="1" si="150"/>
        <v>73.481260881774787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356100</v>
      </c>
      <c r="N331" s="497">
        <f t="shared" ca="1" si="152"/>
        <v>261666.77</v>
      </c>
      <c r="O331" s="497">
        <f t="shared" ca="1" si="149"/>
        <v>74.000783371040725</v>
      </c>
      <c r="P331" s="497">
        <f t="shared" ca="1" si="150"/>
        <v>73.481260881774787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IFERROR(__xludf.DUMMYFUNCTION("IMPORTRANGE(""https://docs.google.com/spreadsheets/d/1MeEWN-I1oV_STSDYn1IFDPWt_1FKiwhDph83XaGc0o0/edit?usp=sharing"",""งบพรบ!EM71"")"),353600)</f>
        <v>353600</v>
      </c>
      <c r="M333" s="93">
        <f ca="1">IFERROR(__xludf.DUMMYFUNCTION("IMPORTRANGE(""https://docs.google.com/spreadsheets/d/1MeEWN-I1oV_STSDYn1IFDPWt_1FKiwhDph83XaGc0o0/edit?usp=sharing"",""งบพรบ!ER71"")"),356100)</f>
        <v>356100</v>
      </c>
      <c r="N333" s="93">
        <f ca="1">IFERROR(__xludf.DUMMYFUNCTION("IMPORTRANGE(""https://docs.google.com/spreadsheets/d/1MeEWN-I1oV_STSDYn1IFDPWt_1FKiwhDph83XaGc0o0/edit?usp=sharing"",""งบพรบ!ET71"")"),261666.77)</f>
        <v>261666.77</v>
      </c>
      <c r="O333" s="93">
        <f t="shared" ca="1" si="149"/>
        <v>74.000783371040725</v>
      </c>
      <c r="P333" s="93">
        <f t="shared" ca="1" si="150"/>
        <v>73.481260881774787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IFERROR(__xludf.DUMMYFUNCTION("IMPORTRANGE(""https://docs.google.com/spreadsheets/d/1MeEWN-I1oV_STSDYn1IFDPWt_1FKiwhDph83XaGc0o0/edit?usp=sharing"",""งบพรบ!EP71"")"),0)</f>
        <v>0</v>
      </c>
      <c r="M336" s="93">
        <f ca="1">IFERROR(__xludf.DUMMYFUNCTION("IMPORTRANGE(""https://docs.google.com/spreadsheets/d/1MeEWN-I1oV_STSDYn1IFDPWt_1FKiwhDph83XaGc0o0/edit?usp=sharing"",""งบพรบ!ES71"")"),0)</f>
        <v>0</v>
      </c>
      <c r="N336" s="93">
        <f ca="1">IFERROR(__xludf.DUMMYFUNCTION("IMPORTRANGE(""https://docs.google.com/spreadsheets/d/1MeEWN-I1oV_STSDYn1IFDPWt_1FKiwhDph83XaGc0o0/edit?usp=sharing"",""งบพรบ!EU71"")"),0)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IFERROR(__xludf.DUMMYFUNCTION("IMPORTRANGE(""https://docs.google.com/spreadsheets/d/1QqKyyYR6Q21VydFLVH3TRQUabQu_ym0Zz7PgGX0-kHA/edit?usp=sharing"",""แผน!EG71"")"),50)</f>
        <v>50</v>
      </c>
      <c r="J338" s="270">
        <f ca="1">IFERROR(__xludf.DUMMYFUNCTION("IMPORTRANGE(""https://docs.google.com/spreadsheets/d/1kVcqe37tkHyjCSG3S0O1AXqVkqjo8mSIZil3BcpIysc/edit?usp=sharing"",""ศูนย์!D71"")"),25)</f>
        <v>25</v>
      </c>
      <c r="K338" s="497">
        <f ca="1">IF(I338&gt;0,J338*100/I338,0)</f>
        <v>50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IFERROR(__xludf.DUMMYFUNCTION("IMPORTRANGE(""https://docs.google.com/spreadsheets/d/1QqKyyYR6Q21VydFLVH3TRQUabQu_ym0Zz7PgGX0-kHA/edit?usp=sharing"",""แผน!EH71"")"),2)</f>
        <v>2</v>
      </c>
      <c r="J340" s="270">
        <f ca="1">IFERROR(__xludf.DUMMYFUNCTION("IMPORTRANGE(""https://docs.google.com/spreadsheets/d/1kVcqe37tkHyjCSG3S0O1AXqVkqjo8mSIZil3BcpIysc/edit?usp=sharing"",""ศูนย์!E71"")"),1)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IFERROR(__xludf.DUMMYFUNCTION("IMPORTRANGE(""https://docs.google.com/spreadsheets/d/1kVcqe37tkHyjCSG3S0O1AXqVkqjo8mSIZil3BcpIysc/edit?usp=sharing"",""ศูนย์!F71"")"),17)</f>
        <v>17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96770</v>
      </c>
      <c r="M345" s="155">
        <f t="shared" ca="1" si="154"/>
        <v>96010</v>
      </c>
      <c r="N345" s="155">
        <f t="shared" ca="1" si="154"/>
        <v>76740</v>
      </c>
      <c r="O345" s="155">
        <f t="shared" ref="O345:O353" ca="1" si="155">IF(L345&gt;0,N345*100/L345,0)</f>
        <v>79.301436395577142</v>
      </c>
      <c r="P345" s="155">
        <f t="shared" ref="P345:P353" ca="1" si="156">IF(M345&gt;0,N345*100/M345,0)</f>
        <v>79.929174044370384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96770</v>
      </c>
      <c r="M347" s="93">
        <f t="shared" ca="1" si="157"/>
        <v>96010</v>
      </c>
      <c r="N347" s="93">
        <f t="shared" ca="1" si="157"/>
        <v>76740</v>
      </c>
      <c r="O347" s="93">
        <f t="shared" ca="1" si="155"/>
        <v>79.301436395577142</v>
      </c>
      <c r="P347" s="93">
        <f t="shared" ca="1" si="156"/>
        <v>79.929174044370384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43970</v>
      </c>
      <c r="M348" s="497">
        <f t="shared" ca="1" si="158"/>
        <v>43970</v>
      </c>
      <c r="N348" s="497">
        <f t="shared" ca="1" si="158"/>
        <v>24700</v>
      </c>
      <c r="O348" s="497">
        <f t="shared" ca="1" si="155"/>
        <v>56.174664544007278</v>
      </c>
      <c r="P348" s="497">
        <f t="shared" ca="1" si="156"/>
        <v>56.174664544007278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IFERROR(__xludf.DUMMYFUNCTION("IMPORTRANGE(""https://docs.google.com/spreadsheets/d/1MeEWN-I1oV_STSDYn1IFDPWt_1FKiwhDph83XaGc0o0/edit?usp=sharing"",""งบพรบ!EW71"")"),43970)</f>
        <v>43970</v>
      </c>
      <c r="M350" s="93">
        <f ca="1">IFERROR(__xludf.DUMMYFUNCTION("IMPORTRANGE(""https://docs.google.com/spreadsheets/d/1MeEWN-I1oV_STSDYn1IFDPWt_1FKiwhDph83XaGc0o0/edit?usp=sharing"",""งบพรบ!FB71"")"),43970)</f>
        <v>43970</v>
      </c>
      <c r="N350" s="93">
        <f ca="1">IFERROR(__xludf.DUMMYFUNCTION("IMPORTRANGE(""https://docs.google.com/spreadsheets/d/1MeEWN-I1oV_STSDYn1IFDPWt_1FKiwhDph83XaGc0o0/edit?usp=sharing"",""งบพรบ!FD71"")"),24700)</f>
        <v>24700</v>
      </c>
      <c r="O350" s="93">
        <f t="shared" ca="1" si="155"/>
        <v>56.174664544007278</v>
      </c>
      <c r="P350" s="93">
        <f t="shared" ca="1" si="156"/>
        <v>56.174664544007278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52800</v>
      </c>
      <c r="M351" s="497">
        <f t="shared" ca="1" si="159"/>
        <v>52040</v>
      </c>
      <c r="N351" s="497">
        <f t="shared" ca="1" si="159"/>
        <v>52040</v>
      </c>
      <c r="O351" s="497">
        <f t="shared" ca="1" si="155"/>
        <v>98.560606060606062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IFERROR(__xludf.DUMMYFUNCTION("IMPORTRANGE(""https://docs.google.com/spreadsheets/d/1MeEWN-I1oV_STSDYn1IFDPWt_1FKiwhDph83XaGc0o0/edit?usp=sharing"",""งบพรบ!EZ71"")"),52800)</f>
        <v>52800</v>
      </c>
      <c r="M353" s="93">
        <f ca="1">IFERROR(__xludf.DUMMYFUNCTION("IMPORTRANGE(""https://docs.google.com/spreadsheets/d/1MeEWN-I1oV_STSDYn1IFDPWt_1FKiwhDph83XaGc0o0/edit?usp=sharing"",""งบพรบ!FC71"")"),52040)</f>
        <v>52040</v>
      </c>
      <c r="N353" s="93">
        <f ca="1">IFERROR(__xludf.DUMMYFUNCTION("IMPORTRANGE(""https://docs.google.com/spreadsheets/d/1MeEWN-I1oV_STSDYn1IFDPWt_1FKiwhDph83XaGc0o0/edit?usp=sharing"",""งบพรบ!FE71"")"),52040)</f>
        <v>52040</v>
      </c>
      <c r="O353" s="93">
        <f t="shared" ca="1" si="155"/>
        <v>98.560606060606062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IFERROR(__xludf.DUMMYFUNCTION("IMPORTRANGE(""https://docs.google.com/spreadsheets/d/1XWAQStnk-4SwqDmLtmXYiTMKHgktTP8We1SCoS47DrQ/edit?usp=sharing"",""จัดที่ดิน!W71"")"),0)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IFERROR(__xludf.DUMMYFUNCTION("IMPORTRANGE(""https://docs.google.com/spreadsheets/d/1QqKyyYR6Q21VydFLVH3TRQUabQu_ym0Zz7PgGX0-kHA/edit?usp=sharing"",""แผน!EO71"")"),0)</f>
        <v>0</v>
      </c>
      <c r="J359" s="270">
        <f ca="1">IFERROR(__xludf.DUMMYFUNCTION("IMPORTRANGE(""https://docs.google.com/spreadsheets/d/1XWAQStnk-4SwqDmLtmXYiTMKHgktTP8We1SCoS47DrQ/edit?usp=sharing"",""จัดที่ดิน!X71"")"),0)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IFERROR(__xludf.DUMMYFUNCTION("IMPORTRANGE(""https://docs.google.com/spreadsheets/d/1QqKyyYR6Q21VydFLVH3TRQUabQu_ym0Zz7PgGX0-kHA/edit?usp=sharing"",""แผน!EP71"")"),0)</f>
        <v>0</v>
      </c>
      <c r="J360" s="270">
        <f ca="1">IFERROR(__xludf.DUMMYFUNCTION("IMPORTRANGE(""https://docs.google.com/spreadsheets/d/1XWAQStnk-4SwqDmLtmXYiTMKHgktTP8We1SCoS47DrQ/edit?usp=sharing"",""จัดที่ดิน!Y71"")"),0)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IFERROR(__xludf.DUMMYFUNCTION("IMPORTRANGE(""https://docs.google.com/spreadsheets/d/1XWAQStnk-4SwqDmLtmXYiTMKHgktTP8We1SCoS47DrQ/edit?usp=sharing"",""จัดที่ดิน!Z71"")"),0)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IFERROR(__xludf.DUMMYFUNCTION("IMPORTRANGE(""https://docs.google.com/spreadsheets/d/1QqKyyYR6Q21VydFLVH3TRQUabQu_ym0Zz7PgGX0-kHA/edit?usp=sharing"",""แผน!EP71"")"),0)</f>
        <v>0</v>
      </c>
      <c r="J362" s="270">
        <f ca="1">IFERROR(__xludf.DUMMYFUNCTION("IMPORTRANGE(""https://docs.google.com/spreadsheets/d/1XWAQStnk-4SwqDmLtmXYiTMKHgktTP8We1SCoS47DrQ/edit?usp=sharing"",""จัดที่ดิน!AA71"")"),0)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IFERROR(__xludf.DUMMYFUNCTION("IMPORTRANGE(""https://docs.google.com/spreadsheets/d/1XWAQStnk-4SwqDmLtmXYiTMKHgktTP8We1SCoS47DrQ/edit?usp=sharing"",""จัดที่ดิน!AB71"")"),0)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IFERROR(__xludf.DUMMYFUNCTION("IMPORTRANGE(""https://docs.google.com/spreadsheets/d/1QqKyyYR6Q21VydFLVH3TRQUabQu_ym0Zz7PgGX0-kHA/edit?usp=sharing"",""แผน!EJ71"")"),0)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IFERROR(__xludf.DUMMYFUNCTION("IMPORTRANGE(""https://docs.google.com/spreadsheets/d/1XWAQStnk-4SwqDmLtmXYiTMKHgktTP8We1SCoS47DrQ/edit?usp=sharing"",""จัดที่ดิน!E71"")"),0)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IFERROR(__xludf.DUMMYFUNCTION("IMPORTRANGE(""https://docs.google.com/spreadsheets/d/1QqKyyYR6Q21VydFLVH3TRQUabQu_ym0Zz7PgGX0-kHA/edit?usp=sharing"",""แผน!EI71"")"),0)</f>
        <v>0</v>
      </c>
      <c r="J369" s="270">
        <f ca="1">IFERROR(__xludf.DUMMYFUNCTION("IMPORTRANGE(""https://docs.google.com/spreadsheets/d/1XWAQStnk-4SwqDmLtmXYiTMKHgktTP8We1SCoS47DrQ/edit?usp=sharing"",""จัดที่ดิน!F71"")"),0)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IFERROR(__xludf.DUMMYFUNCTION("IMPORTRANGE(""https://docs.google.com/spreadsheets/d/1QqKyyYR6Q21VydFLVH3TRQUabQu_ym0Zz7PgGX0-kHA/edit?usp=sharing"",""แผน!EJ71"")"),0)</f>
        <v>0</v>
      </c>
      <c r="J370" s="270">
        <f ca="1">IFERROR(__xludf.DUMMYFUNCTION("IMPORTRANGE(""https://docs.google.com/spreadsheets/d/1XWAQStnk-4SwqDmLtmXYiTMKHgktTP8We1SCoS47DrQ/edit?usp=sharing"",""จัดที่ดิน!G71"")"),0)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IFERROR(__xludf.DUMMYFUNCTION("IMPORTRANGE(""https://docs.google.com/spreadsheets/d/1XWAQStnk-4SwqDmLtmXYiTMKHgktTP8We1SCoS47DrQ/edit?usp=sharing"",""จัดที่ดิน!H71"")"),0)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IFERROR(__xludf.DUMMYFUNCTION("IMPORTRANGE(""https://docs.google.com/spreadsheets/d/1QqKyyYR6Q21VydFLVH3TRQUabQu_ym0Zz7PgGX0-kHA/edit?usp=sharing"",""แผน!EJ71"")"),0)</f>
        <v>0</v>
      </c>
      <c r="J372" s="270">
        <f ca="1">IFERROR(__xludf.DUMMYFUNCTION("IMPORTRANGE(""https://docs.google.com/spreadsheets/d/1XWAQStnk-4SwqDmLtmXYiTMKHgktTP8We1SCoS47DrQ/edit?usp=sharing"",""จัดที่ดิน!I71"")"),0)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IFERROR(__xludf.DUMMYFUNCTION("IMPORTRANGE(""https://docs.google.com/spreadsheets/d/1XWAQStnk-4SwqDmLtmXYiTMKHgktTP8We1SCoS47DrQ/edit?usp=sharing"",""จัดที่ดิน!J71"")"),0)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IFERROR(__xludf.DUMMYFUNCTION("IMPORTRANGE(""https://docs.google.com/spreadsheets/d/1QqKyyYR6Q21VydFLVH3TRQUabQu_ym0Zz7PgGX0-kHA/edit?usp=sharing"",""แผน!EU71"")"),0)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IFERROR(__xludf.DUMMYFUNCTION("IMPORTRANGE(""https://docs.google.com/spreadsheets/d/1XWAQStnk-4SwqDmLtmXYiTMKHgktTP8We1SCoS47DrQ/edit?usp=sharing"",""จัดที่ดิน!AH71"")"),0)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IFERROR(__xludf.DUMMYFUNCTION("IMPORTRANGE(""https://docs.google.com/spreadsheets/d/1QqKyyYR6Q21VydFLVH3TRQUabQu_ym0Zz7PgGX0-kHA/edit?usp=sharing"",""แผน!ET71"")"),0)</f>
        <v>0</v>
      </c>
      <c r="J378" s="270">
        <f ca="1">IFERROR(__xludf.DUMMYFUNCTION("IMPORTRANGE(""https://docs.google.com/spreadsheets/d/1XWAQStnk-4SwqDmLtmXYiTMKHgktTP8We1SCoS47DrQ/edit?usp=sharing"",""จัดที่ดิน!AI71"")"),0)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IFERROR(__xludf.DUMMYFUNCTION("IMPORTRANGE(""https://docs.google.com/spreadsheets/d/1QqKyyYR6Q21VydFLVH3TRQUabQu_ym0Zz7PgGX0-kHA/edit?usp=sharing"",""แผน!EU71"")"),0)</f>
        <v>0</v>
      </c>
      <c r="J379" s="270">
        <f ca="1">IFERROR(__xludf.DUMMYFUNCTION("IMPORTRANGE(""https://docs.google.com/spreadsheets/d/1XWAQStnk-4SwqDmLtmXYiTMKHgktTP8We1SCoS47DrQ/edit?usp=sharing"",""จัดที่ดิน!AJ71"")"),0)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IFERROR(__xludf.DUMMYFUNCTION("IMPORTRANGE(""https://docs.google.com/spreadsheets/d/1XWAQStnk-4SwqDmLtmXYiTMKHgktTP8We1SCoS47DrQ/edit?usp=sharing"",""จัดที่ดิน!AK71"")"),0)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IFERROR(__xludf.DUMMYFUNCTION("IMPORTRANGE(""https://docs.google.com/spreadsheets/d/1QqKyyYR6Q21VydFLVH3TRQUabQu_ym0Zz7PgGX0-kHA/edit?usp=sharing"",""แผน!EU71"")"),0)</f>
        <v>0</v>
      </c>
      <c r="J381" s="270">
        <f ca="1">IFERROR(__xludf.DUMMYFUNCTION("IMPORTRANGE(""https://docs.google.com/spreadsheets/d/1XWAQStnk-4SwqDmLtmXYiTMKHgktTP8We1SCoS47DrQ/edit?usp=sharing"",""จัดที่ดิน!AL71"")"),0)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IFERROR(__xludf.DUMMYFUNCTION("IMPORTRANGE(""https://docs.google.com/spreadsheets/d/1XWAQStnk-4SwqDmLtmXYiTMKHgktTP8We1SCoS47DrQ/edit?usp=sharing"",""จัดที่ดิน!AM71"")"),0)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IFERROR(__xludf.DUMMYFUNCTION("IMPORTRANGE(""https://docs.google.com/spreadsheets/d/1QqKyyYR6Q21VydFLVH3TRQUabQu_ym0Zz7PgGX0-kHA/edit?usp=sharing"",""แผน!EW71"")"),0)</f>
        <v>0</v>
      </c>
      <c r="J385" s="501">
        <f ca="1">IFERROR(__xludf.DUMMYFUNCTION("IMPORTRANGE(""https://docs.google.com/spreadsheets/d/1XWAQStnk-4SwqDmLtmXYiTMKHgktTP8We1SCoS47DrQ/edit?usp=sharing"",""จัดที่ดิน!AP71"")"),0)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IFERROR(__xludf.DUMMYFUNCTION("IMPORTRANGE(""https://docs.google.com/spreadsheets/d/1MeEWN-I1oV_STSDYn1IFDPWt_1FKiwhDph83XaGc0o0/edit?usp=sharing"",""งบพรบ!FG71"")"),0)</f>
        <v>0</v>
      </c>
      <c r="M394" s="93">
        <f ca="1">IFERROR(__xludf.DUMMYFUNCTION("IMPORTRANGE(""https://docs.google.com/spreadsheets/d/1MeEWN-I1oV_STSDYn1IFDPWt_1FKiwhDph83XaGc0o0/edit?usp=sharing"",""งบพรบ!FL71"")"),0)</f>
        <v>0</v>
      </c>
      <c r="N394" s="93">
        <f ca="1">IFERROR(__xludf.DUMMYFUNCTION("IMPORTRANGE(""https://docs.google.com/spreadsheets/d/1MeEWN-I1oV_STSDYn1IFDPWt_1FKiwhDph83XaGc0o0/edit?usp=sharing"",""งบพรบ!FN71"")"),0)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IFERROR(__xludf.DUMMYFUNCTION("IMPORTRANGE(""https://docs.google.com/spreadsheets/d/1MeEWN-I1oV_STSDYn1IFDPWt_1FKiwhDph83XaGc0o0/edit?usp=sharing"",""งบพรบ!FJ71"")"),0)</f>
        <v>0</v>
      </c>
      <c r="M397" s="93">
        <f ca="1">IFERROR(__xludf.DUMMYFUNCTION("IMPORTRANGE(""https://docs.google.com/spreadsheets/d/1MeEWN-I1oV_STSDYn1IFDPWt_1FKiwhDph83XaGc0o0/edit?usp=sharing"",""งบพรบ!FM71"")"),0)</f>
        <v>0</v>
      </c>
      <c r="N397" s="93">
        <f ca="1">IFERROR(__xludf.DUMMYFUNCTION("IMPORTRANGE(""https://docs.google.com/spreadsheets/d/1MeEWN-I1oV_STSDYn1IFDPWt_1FKiwhDph83XaGc0o0/edit?usp=sharing"",""งบพรบ!FO71"")"),0)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IFERROR(__xludf.DUMMYFUNCTION("IMPORTRANGE(""https://docs.google.com/spreadsheets/d/1MeEWN-I1oV_STSDYn1IFDPWt_1FKiwhDph83XaGc0o0/edit?usp=sharing"",""งบพรบ!FQ71"")"),0)</f>
        <v>0</v>
      </c>
      <c r="M407" s="93">
        <f ca="1">IFERROR(__xludf.DUMMYFUNCTION("IMPORTRANGE(""https://docs.google.com/spreadsheets/d/1MeEWN-I1oV_STSDYn1IFDPWt_1FKiwhDph83XaGc0o0/edit?usp=sharing"",""งบพรบ!FV71"")"),0)</f>
        <v>0</v>
      </c>
      <c r="N407" s="93">
        <f ca="1">IFERROR(__xludf.DUMMYFUNCTION("IMPORTRANGE(""https://docs.google.com/spreadsheets/d/1MeEWN-I1oV_STSDYn1IFDPWt_1FKiwhDph83XaGc0o0/edit?usp=sharing"",""งบพรบ!FX71"")"),0)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IFERROR(__xludf.DUMMYFUNCTION("IMPORTRANGE(""https://docs.google.com/spreadsheets/d/1MeEWN-I1oV_STSDYn1IFDPWt_1FKiwhDph83XaGc0o0/edit?usp=sharing"",""งบพรบ!FT71"")"),0)</f>
        <v>0</v>
      </c>
      <c r="M410" s="93">
        <f ca="1">IFERROR(__xludf.DUMMYFUNCTION("IMPORTRANGE(""https://docs.google.com/spreadsheets/d/1MeEWN-I1oV_STSDYn1IFDPWt_1FKiwhDph83XaGc0o0/edit?usp=sharing"",""งบพรบ!FW71"")"),0)</f>
        <v>0</v>
      </c>
      <c r="N410" s="93">
        <f ca="1">IFERROR(__xludf.DUMMYFUNCTION("IMPORTRANGE(""https://docs.google.com/spreadsheets/d/1MeEWN-I1oV_STSDYn1IFDPWt_1FKiwhDph83XaGc0o0/edit?usp=sharing"",""งบพรบ!FY71"")"),0)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143500</v>
      </c>
      <c r="M414" s="549">
        <f t="shared" ca="1" si="180"/>
        <v>143500</v>
      </c>
      <c r="N414" s="549">
        <f t="shared" si="180"/>
        <v>83511</v>
      </c>
      <c r="O414" s="549">
        <f ca="1">IF(L414&gt;0,N414*100/L414,0)</f>
        <v>58.195818815331009</v>
      </c>
      <c r="P414" s="549">
        <f ca="1">IF(M414&gt;0,N414*100/M414,0)</f>
        <v>58.195818815331009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54560</v>
      </c>
      <c r="O419" s="155">
        <f t="shared" ref="O419:O424" ca="1" si="184">IF(L419&gt;0,N419*100/L419,0)</f>
        <v>100</v>
      </c>
      <c r="P419" s="155">
        <f t="shared" ref="P419:P424" ca="1" si="185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54560</v>
      </c>
      <c r="O421" s="93">
        <f t="shared" ca="1" si="184"/>
        <v>100</v>
      </c>
      <c r="P421" s="93">
        <f t="shared" ca="1" si="185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54560</v>
      </c>
      <c r="N422" s="497">
        <f t="shared" si="187"/>
        <v>54560</v>
      </c>
      <c r="O422" s="497">
        <f t="shared" ca="1" si="184"/>
        <v>100</v>
      </c>
      <c r="P422" s="497">
        <f t="shared" ca="1" si="185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IFERROR(__xludf.DUMMYFUNCTION("IMPORTRANGE(""https://docs.google.com/spreadsheets/d/1QqKyyYR6Q21VydFLVH3TRQUabQu_ym0Zz7PgGX0-kHA/edit?usp=sharing"",""แผน!EY71"")"),54560)</f>
        <v>54560</v>
      </c>
      <c r="M424" s="93">
        <f ca="1">L424</f>
        <v>54560</v>
      </c>
      <c r="N424" s="93">
        <f>N425+N426+N427+N428</f>
        <v>54560</v>
      </c>
      <c r="O424" s="93">
        <f t="shared" ca="1" si="184"/>
        <v>100</v>
      </c>
      <c r="P424" s="93">
        <f t="shared" ca="1" si="185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43492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11068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IFERROR(__xludf.DUMMYFUNCTION("IMPORTRANGE(""https://docs.google.com/spreadsheets/d/1QqKyyYR6Q21VydFLVH3TRQUabQu_ym0Zz7PgGX0-kHA/edit?usp=sharing"",""แผน!FB71"")"),0)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IFERROR(__xludf.DUMMYFUNCTION("IMPORTRANGE(""https://docs.google.com/spreadsheets/d/1QqKyyYR6Q21VydFLVH3TRQUabQu_ym0Zz7PgGX0-kHA/edit?usp=sharing"",""แผน!FC71"")"),10)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IFERROR(__xludf.DUMMYFUNCTION("IMPORTRANGE(""https://docs.google.com/spreadsheets/d/1QqKyyYR6Q21VydFLVH3TRQUabQu_ym0Zz7PgGX0-kHA/edit?usp=sharing"",""แผน!FD71"")"),0)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IFERROR(__xludf.DUMMYFUNCTION("IMPORTRANGE(""https://docs.google.com/spreadsheets/d/1QqKyyYR6Q21VydFLVH3TRQUabQu_ym0Zz7PgGX0-kHA/edit?usp=sharing"",""แผน!FE71"")"),0)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IFERROR(__xludf.DUMMYFUNCTION("IMPORTRANGE(""https://docs.google.com/spreadsheets/d/1QqKyyYR6Q21VydFLVH3TRQUabQu_ym0Zz7PgGX0-kHA/edit?usp=sharing"",""แผน!FF71"")"),10)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IFERROR(__xludf.DUMMYFUNCTION("IMPORTRANGE(""https://docs.google.com/spreadsheets/d/1QqKyyYR6Q21VydFLVH3TRQUabQu_ym0Zz7PgGX0-kHA/edit?usp=sharing"",""แผน!FG71"")"),1)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IFERROR(__xludf.DUMMYFUNCTION("IMPORTRANGE(""https://docs.google.com/spreadsheets/d/1QqKyyYR6Q21VydFLVH3TRQUabQu_ym0Zz7PgGX0-kHA/edit?usp=sharing"",""แผน!FH71"")"),0)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IFERROR(__xludf.DUMMYFUNCTION("IMPORTRANGE(""https://docs.google.com/spreadsheets/d/1QqKyyYR6Q21VydFLVH3TRQUabQu_ym0Zz7PgGX0-kHA/edit?usp=sharing"",""แผน!FJ71"")"),0)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IFERROR(__xludf.DUMMYFUNCTION("IMPORTRANGE(""https://docs.google.com/spreadsheets/d/1QqKyyYR6Q21VydFLVH3TRQUabQu_ym0Zz7PgGX0-kHA/edit?usp=sharing"",""แผน!FM71"")"),0)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IFERROR(__xludf.DUMMYFUNCTION("IMPORTRANGE(""https://docs.google.com/spreadsheets/d/1QqKyyYR6Q21VydFLVH3TRQUabQu_ym0Zz7PgGX0-kHA/edit?usp=sharing"",""แผน!FN71"")"),0)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IFERROR(__xludf.DUMMYFUNCTION("IMPORTRANGE(""https://docs.google.com/spreadsheets/d/1QqKyyYR6Q21VydFLVH3TRQUabQu_ym0Zz7PgGX0-kHA/edit?usp=sharing"",""แผน!FO71"")"),0)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IFERROR(__xludf.DUMMYFUNCTION("IMPORTRANGE(""https://docs.google.com/spreadsheets/d/1QqKyyYR6Q21VydFLVH3TRQUabQu_ym0Zz7PgGX0-kHA/edit?usp=sharing"",""แผน!FO71"")"),0)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IFERROR(__xludf.DUMMYFUNCTION("IMPORTRANGE(""https://docs.google.com/spreadsheets/d/1QqKyyYR6Q21VydFLVH3TRQUabQu_ym0Zz7PgGX0-kHA/edit?usp=sharing"",""แผน!FN71"")"),0)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IFERROR(__xludf.DUMMYFUNCTION("IMPORTRANGE(""https://docs.google.com/spreadsheets/d/1QqKyyYR6Q21VydFLVH3TRQUabQu_ym0Zz7PgGX0-kHA/edit?usp=sharing"",""แผน!FX71"")"),0)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IFERROR(__xludf.DUMMYFUNCTION("IMPORTRANGE(""https://docs.google.com/spreadsheets/d/1QqKyyYR6Q21VydFLVH3TRQUabQu_ym0Zz7PgGX0-kHA/edit?usp=sharing"",""แผน!FW71"")"),0)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IFERROR(__xludf.DUMMYFUNCTION("IMPORTRANGE(""https://docs.google.com/spreadsheets/d/1QqKyyYR6Q21VydFLVH3TRQUabQu_ym0Zz7PgGX0-kHA/edit?usp=sharing"",""แผน!FS71"")"),0)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IFERROR(__xludf.DUMMYFUNCTION("IMPORTRANGE(""https://docs.google.com/spreadsheets/d/1QqKyyYR6Q21VydFLVH3TRQUabQu_ym0Zz7PgGX0-kHA/edit?usp=sharing"",""แผน!FV71"")"),0)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IFERROR(__xludf.DUMMYFUNCTION("IMPORTRANGE(""https://docs.google.com/spreadsheets/d/1QqKyyYR6Q21VydFLVH3TRQUabQu_ym0Zz7PgGX0-kHA/edit?usp=sharing"",""แผน!GQ71"")"),0)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IFERROR(__xludf.DUMMYFUNCTION("IMPORTRANGE(""https://docs.google.com/spreadsheets/d/1QqKyyYR6Q21VydFLVH3TRQUabQu_ym0Zz7PgGX0-kHA/edit?usp=sharing"",""แผน!GT71"")"),0)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IFERROR(__xludf.DUMMYFUNCTION("IMPORTRANGE(""https://docs.google.com/spreadsheets/d/1QqKyyYR6Q21VydFLVH3TRQUabQu_ym0Zz7PgGX0-kHA/edit?usp=sharing"",""แผน!GU71"")"),0)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IFERROR(__xludf.DUMMYFUNCTION("IMPORTRANGE(""https://docs.google.com/spreadsheets/d/1QqKyyYR6Q21VydFLVH3TRQUabQu_ym0Zz7PgGX0-kHA/edit?usp=sharing"",""แผน!GV71"")"),0)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IFERROR(__xludf.DUMMYFUNCTION("IMPORTRANGE(""https://docs.google.com/spreadsheets/d/1QqKyyYR6Q21VydFLVH3TRQUabQu_ym0Zz7PgGX0-kHA/edit?usp=sharing"",""แผน!GW71"")"),0)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IFERROR(__xludf.DUMMYFUNCTION("IMPORTRANGE(""https://docs.google.com/spreadsheets/d/1QqKyyYR6Q21VydFLVH3TRQUabQu_ym0Zz7PgGX0-kHA/edit?usp=sharing"",""แผน!GX71"")"),0)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IFERROR(__xludf.DUMMYFUNCTION("IMPORTRANGE(""https://docs.google.com/spreadsheets/d/1QqKyyYR6Q21VydFLVH3TRQUabQu_ym0Zz7PgGX0-kHA/edit?usp=sharing"",""แผน!GY71"")"),0)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IFERROR(__xludf.DUMMYFUNCTION("IMPORTRANGE(""https://docs.google.com/spreadsheets/d/1QqKyyYR6Q21VydFLVH3TRQUabQu_ym0Zz7PgGX0-kHA/edit?usp=sharing"",""แผน!GZ71"")"),0)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75300</v>
      </c>
      <c r="M544" s="155">
        <f t="shared" ca="1" si="235"/>
        <v>75300</v>
      </c>
      <c r="N544" s="155">
        <f t="shared" si="235"/>
        <v>9200</v>
      </c>
      <c r="O544" s="155">
        <f t="shared" ref="O544:O549" ca="1" si="236">IF(L544&gt;0,N544*100/L544,0)</f>
        <v>12.217795484727755</v>
      </c>
      <c r="P544" s="155">
        <f t="shared" ref="P544:P549" ca="1" si="237">IF(M544&gt;0,N544*100/M544,0)</f>
        <v>12.217795484727755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75300</v>
      </c>
      <c r="M546" s="93">
        <f t="shared" ca="1" si="239"/>
        <v>75300</v>
      </c>
      <c r="N546" s="93">
        <f t="shared" si="239"/>
        <v>9200</v>
      </c>
      <c r="O546" s="93">
        <f t="shared" ca="1" si="236"/>
        <v>12.217795484727755</v>
      </c>
      <c r="P546" s="93">
        <f t="shared" ca="1" si="237"/>
        <v>12.217795484727755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75300</v>
      </c>
      <c r="M547" s="497">
        <f t="shared" ca="1" si="240"/>
        <v>75300</v>
      </c>
      <c r="N547" s="497">
        <f t="shared" si="240"/>
        <v>9200</v>
      </c>
      <c r="O547" s="497">
        <f t="shared" ca="1" si="236"/>
        <v>12.217795484727755</v>
      </c>
      <c r="P547" s="497">
        <f t="shared" ca="1" si="237"/>
        <v>12.217795484727755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IFERROR(__xludf.DUMMYFUNCTION("IMPORTRANGE(""https://docs.google.com/spreadsheets/d/1QqKyyYR6Q21VydFLVH3TRQUabQu_ym0Zz7PgGX0-kHA/edit?usp=sharing"",""แผน!HB71"")"),75300)</f>
        <v>75300</v>
      </c>
      <c r="M549" s="93">
        <f ca="1">L549</f>
        <v>75300</v>
      </c>
      <c r="N549" s="93">
        <f>N550+N551+N552+N553+N554</f>
        <v>9200</v>
      </c>
      <c r="O549" s="93">
        <f t="shared" ca="1" si="236"/>
        <v>12.217795484727755</v>
      </c>
      <c r="P549" s="93">
        <f t="shared" ca="1" si="237"/>
        <v>12.217795484727755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9200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IFERROR(__xludf.DUMMYFUNCTION("IMPORTRANGE(""https://docs.google.com/spreadsheets/d/1QqKyyYR6Q21VydFLVH3TRQUabQu_ym0Zz7PgGX0-kHA/edit?usp=sharing"",""แผน!HF71"")"),0)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IFERROR(__xludf.DUMMYFUNCTION("IMPORTRANGE(""https://docs.google.com/spreadsheets/d/1QqKyyYR6Q21VydFLVH3TRQUabQu_ym0Zz7PgGX0-kHA/edit?usp=sharing"",""แผน!HH71"")"),0)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IFERROR(__xludf.DUMMYFUNCTION("IMPORTRANGE(""https://docs.google.com/spreadsheets/d/1QqKyyYR6Q21VydFLVH3TRQUabQu_ym0Zz7PgGX0-kHA/edit?usp=sharing"",""แผน!HG71"")"),0)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IFERROR(__xludf.DUMMYFUNCTION("IMPORTRANGE(""https://docs.google.com/spreadsheets/d/1QqKyyYR6Q21VydFLVH3TRQUabQu_ym0Zz7PgGX0-kHA/edit?usp=sharing"",""แผน!HH71"")"),0)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IFERROR(__xludf.DUMMYFUNCTION("IMPORTRANGE(""https://docs.google.com/spreadsheets/d/1QqKyyYR6Q21VydFLVH3TRQUabQu_ym0Zz7PgGX0-kHA/edit?usp=sharing"",""แผน!HG71"")"),0)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IFERROR(__xludf.DUMMYFUNCTION("IMPORTRANGE(""https://docs.google.com/spreadsheets/d/1QqKyyYR6Q21VydFLVH3TRQUabQu_ym0Zz7PgGX0-kHA/edit?usp=sharing"",""แผน!HH71"")"),0)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IFERROR(__xludf.DUMMYFUNCTION("IMPORTRANGE(""https://docs.google.com/spreadsheets/d/1QqKyyYR6Q21VydFLVH3TRQUabQu_ym0Zz7PgGX0-kHA/edit?usp=sharing"",""แผน!HG71"")"),0)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398.83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IFERROR(__xludf.DUMMYFUNCTION("IMPORTRANGE(""https://docs.google.com/spreadsheets/d/1QqKyyYR6Q21VydFLVH3TRQUabQu_ym0Zz7PgGX0-kHA/edit?usp=sharing"",""แผน!HJ71"")"),398.83)</f>
        <v>398.83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IFERROR(__xludf.DUMMYFUNCTION("IMPORTRANGE(""https://docs.google.com/spreadsheets/d/1QqKyyYR6Q21VydFLVH3TRQUabQu_ym0Zz7PgGX0-kHA/edit?usp=sharing"",""แผน!HI71"")"),31)</f>
        <v>31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IFERROR(__xludf.DUMMYFUNCTION("IMPORTRANGE(""https://docs.google.com/spreadsheets/d/1QqKyyYR6Q21VydFLVH3TRQUabQu_ym0Zz7PgGX0-kHA/edit?usp=sharing"",""แผน!HL71"")"),0)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IFERROR(__xludf.DUMMYFUNCTION("IMPORTRANGE(""https://docs.google.com/spreadsheets/d/1QqKyyYR6Q21VydFLVH3TRQUabQu_ym0Zz7PgGX0-kHA/edit?usp=sharing"",""แผน!HK71"")"),0)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IFERROR(__xludf.DUMMYFUNCTION("IMPORTRANGE(""https://docs.google.com/spreadsheets/d/1QqKyyYR6Q21VydFLVH3TRQUabQu_ym0Zz7PgGX0-kHA/edit?usp=sharing"",""แผน!HN71"")"),0)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IFERROR(__xludf.DUMMYFUNCTION("IMPORTRANGE(""https://docs.google.com/spreadsheets/d/1QqKyyYR6Q21VydFLVH3TRQUabQu_ym0Zz7PgGX0-kHA/edit?usp=sharing"",""แผน!HQ71"")"),0)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IFERROR(__xludf.DUMMYFUNCTION("IMPORTRANGE(""https://docs.google.com/spreadsheets/d/1QqKyyYR6Q21VydFLVH3TRQUabQu_ym0Zz7PgGX0-kHA/edit?usp=sharing"",""แผน!HR71"")"),0)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IFERROR(__xludf.DUMMYFUNCTION("IMPORTRANGE(""https://docs.google.com/spreadsheets/d/1QqKyyYR6Q21VydFLVH3TRQUabQu_ym0Zz7PgGX0-kHA/edit?usp=sharing"",""แผน!HR71"")"),0)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IFERROR(__xludf.DUMMYFUNCTION("IMPORTRANGE(""https://docs.google.com/spreadsheets/d/1XWAQStnk-4SwqDmLtmXYiTMKHgktTP8We1SCoS47DrQ/edit?usp=sharing"",""จัดที่ดิน!AS71"")"),0)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IFERROR(__xludf.DUMMYFUNCTION("IMPORTRANGE(""https://docs.google.com/spreadsheets/d/1XWAQStnk-4SwqDmLtmXYiTMKHgktTP8We1SCoS47DrQ/edit?usp=sharing"",""จัดที่ดิน!AT71"")"),0)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IFERROR(__xludf.DUMMYFUNCTION("IMPORTRANGE(""https://docs.google.com/spreadsheets/d/1QqKyyYR6Q21VydFLVH3TRQUabQu_ym0Zz7PgGX0-kHA/edit?usp=sharing"",""แผน!HS71"")"),0)</f>
        <v>0</v>
      </c>
      <c r="J647" s="270">
        <f ca="1">IFERROR(__xludf.DUMMYFUNCTION("IMPORTRANGE(""https://docs.google.com/spreadsheets/d/1XWAQStnk-4SwqDmLtmXYiTMKHgktTP8We1SCoS47DrQ/edit?usp=sharing"",""จัดที่ดิน!AU71"")"),0)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IFERROR(__xludf.DUMMYFUNCTION("IMPORTRANGE(""https://docs.google.com/spreadsheets/d/1XWAQStnk-4SwqDmLtmXYiTMKHgktTP8We1SCoS47DrQ/edit?usp=sharing"",""จัดที่ดิน!AV71"")"),0)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IFERROR(__xludf.DUMMYFUNCTION("IMPORTRANGE(""https://docs.google.com/spreadsheets/d/1QqKyyYR6Q21VydFLVH3TRQUabQu_ym0Zz7PgGX0-kHA/edit?usp=sharing"",""แผน!HS71"")"),0)</f>
        <v>0</v>
      </c>
      <c r="J649" s="270">
        <f ca="1">IFERROR(__xludf.DUMMYFUNCTION("IMPORTRANGE(""https://docs.google.com/spreadsheets/d/1XWAQStnk-4SwqDmLtmXYiTMKHgktTP8We1SCoS47DrQ/edit?usp=sharing"",""จัดที่ดิน!AW71"")"),0)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IFERROR(__xludf.DUMMYFUNCTION("IMPORTRANGE(""https://docs.google.com/spreadsheets/d/1XWAQStnk-4SwqDmLtmXYiTMKHgktTP8We1SCoS47DrQ/edit?usp=sharing"",""จัดที่ดิน!AX71"")"),0)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IFERROR(__xludf.DUMMYFUNCTION("IMPORTRANGE(""https://docs.google.com/spreadsheets/d/1QqKyyYR6Q21VydFLVH3TRQUabQu_ym0Zz7PgGX0-kHA/edit?usp=sharing"",""แผน!HS71"")"),0)</f>
        <v>0</v>
      </c>
      <c r="J651" s="270">
        <f ca="1">IFERROR(__xludf.DUMMYFUNCTION("IMPORTRANGE(""https://docs.google.com/spreadsheets/d/1XWAQStnk-4SwqDmLtmXYiTMKHgktTP8We1SCoS47DrQ/edit?usp=sharing"",""จัดที่ดิน!AY71"")"),0)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IFERROR(__xludf.DUMMYFUNCTION("IMPORTRANGE(""https://docs.google.com/spreadsheets/d/1XWAQStnk-4SwqDmLtmXYiTMKHgktTP8We1SCoS47DrQ/edit?usp=sharing"",""จัดที่ดิน!AZ71"")"),0)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143</v>
      </c>
      <c r="K654" s="672">
        <f ca="1">IF(I654&gt;0,J654*100/I654,0)</f>
        <v>143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19751</v>
      </c>
      <c r="O655" s="195">
        <f t="shared" ref="O655:O660" ca="1" si="273">IF(L655&gt;0,N655*100/L655,0)</f>
        <v>159.28225806451613</v>
      </c>
      <c r="P655" s="195">
        <f t="shared" ref="P655:P660" ca="1" si="274">IF(M655&gt;0,N655*100/M655,0)</f>
        <v>159.28225806451613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19751</v>
      </c>
      <c r="O657" s="93">
        <f t="shared" ca="1" si="273"/>
        <v>159.28225806451613</v>
      </c>
      <c r="P657" s="93">
        <f t="shared" ca="1" si="274"/>
        <v>159.28225806451613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19751</v>
      </c>
      <c r="O658" s="497">
        <f t="shared" ca="1" si="273"/>
        <v>159.28225806451613</v>
      </c>
      <c r="P658" s="497">
        <f t="shared" ca="1" si="274"/>
        <v>159.28225806451613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IFERROR(__xludf.DUMMYFUNCTION("IMPORTRANGE(""https://docs.google.com/spreadsheets/d/1QqKyyYR6Q21VydFLVH3TRQUabQu_ym0Zz7PgGX0-kHA/edit?usp=sharing"",""แผน!HV71"")"),12400)</f>
        <v>12400</v>
      </c>
      <c r="M660" s="93">
        <f ca="1">L660</f>
        <v>12400</v>
      </c>
      <c r="N660" s="93">
        <f>N661+N662+N663+N664</f>
        <v>19751</v>
      </c>
      <c r="O660" s="93">
        <f t="shared" ca="1" si="273"/>
        <v>159.28225806451613</v>
      </c>
      <c r="P660" s="93">
        <f t="shared" ca="1" si="274"/>
        <v>159.28225806451613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19751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IFERROR(__xludf.DUMMYFUNCTION("IMPORTRANGE(""https://docs.google.com/spreadsheets/d/1QqKyyYR6Q21VydFLVH3TRQUabQu_ym0Zz7PgGX0-kHA/edit?usp=sharing"",""แผน!IA71"")"),100)</f>
        <v>100</v>
      </c>
      <c r="J669" s="676">
        <f>J675</f>
        <v>143</v>
      </c>
      <c r="K669" s="195">
        <f ca="1">IF(I669&gt;0,J669*100/I669,0)</f>
        <v>143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IFERROR(__xludf.DUMMYFUNCTION("IMPORTRANGE(""https://docs.google.com/spreadsheets/d/1QqKyyYR6Q21VydFLVH3TRQUabQu_ym0Zz7PgGX0-kHA/edit?usp=sharing"",""แผน!HZ71"")"),4)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IFERROR(__xludf.DUMMYFUNCTION("IMPORTRANGE(""https://docs.google.com/spreadsheets/d/1QqKyyYR6Q21VydFLVH3TRQUabQu_ym0Zz7PgGX0-kHA/edit?usp=sharing"",""แผน!HZ71"")"),4)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170</v>
      </c>
      <c r="K672" s="497">
        <f t="shared" ref="K672:K675" ca="1" si="280">IF(I$669&gt;0,J672*100/I$669,0)</f>
        <v>170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170</v>
      </c>
      <c r="K673" s="497">
        <f t="shared" ca="1" si="280"/>
        <v>170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170</v>
      </c>
      <c r="K674" s="497">
        <f t="shared" ca="1" si="280"/>
        <v>170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143</v>
      </c>
      <c r="K675" s="195">
        <f t="shared" ca="1" si="280"/>
        <v>143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143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1240</v>
      </c>
      <c r="M685" s="195">
        <f t="shared" ca="1" si="281"/>
        <v>1240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1240</v>
      </c>
      <c r="M687" s="93">
        <f t="shared" ca="1" si="284"/>
        <v>1240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1240</v>
      </c>
      <c r="M688" s="497">
        <f t="shared" ca="1" si="285"/>
        <v>1240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IFERROR(__xludf.DUMMYFUNCTION("IMPORTRANGE(""https://docs.google.com/spreadsheets/d/1QqKyyYR6Q21VydFLVH3TRQUabQu_ym0Zz7PgGX0-kHA/edit?usp=sharing"",""แผน!HW71"")"),1240)</f>
        <v>1240</v>
      </c>
      <c r="M690" s="93">
        <f ca="1">L690</f>
        <v>1240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IFERROR(__xludf.DUMMYFUNCTION("IMPORTRANGE(""https://docs.google.com/spreadsheets/d/1QqKyyYR6Q21VydFLVH3TRQUabQu_ym0Zz7PgGX0-kHA/edit?usp=sharing"",""แผน!IC71"")"),0)</f>
        <v>0</v>
      </c>
      <c r="J699" s="270">
        <f ca="1">IFERROR(__xludf.DUMMYFUNCTION("IMPORTRANGE(""https://docs.google.com/spreadsheets/d/1XWAQStnk-4SwqDmLtmXYiTMKHgktTP8We1SCoS47DrQ/edit?usp=sharing"",""จัดที่ดิน!BB71"")"),0)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IFERROR(__xludf.DUMMYFUNCTION("IMPORTRANGE(""https://docs.google.com/spreadsheets/d/1QqKyyYR6Q21VydFLVH3TRQUabQu_ym0Zz7PgGX0-kHA/edit?usp=sharing"",""แผน!ID71"")"),1)</f>
        <v>1</v>
      </c>
      <c r="J700" s="270">
        <f ca="1">IFERROR(__xludf.DUMMYFUNCTION("IMPORTRANGE(""https://docs.google.com/spreadsheets/d/1XWAQStnk-4SwqDmLtmXYiTMKHgktTP8We1SCoS47DrQ/edit?usp=sharing"",""จัดที่ดิน!BD71"")"),0)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IFERROR(__xludf.DUMMYFUNCTION("IMPORTRANGE(""https://docs.google.com/spreadsheets/d/1QqKyyYR6Q21VydFLVH3TRQUabQu_ym0Zz7PgGX0-kHA/edit?usp=sharing"",""แผน!IE71"")"),0)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IFERROR(__xludf.DUMMYFUNCTION("IMPORTRANGE(""https://docs.google.com/spreadsheets/d/1QqKyyYR6Q21VydFLVH3TRQUabQu_ym0Zz7PgGX0-kHA/edit?usp=sharing"",""แผน!IF71"")"),0)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IFERROR(__xludf.DUMMYFUNCTION("IMPORTRANGE(""https://docs.google.com/spreadsheets/d/1QqKyyYR6Q21VydFLVH3TRQUabQu_ym0Zz7PgGX0-kHA/edit?usp=sharing"",""แผน!IH71"")"),0)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IFERROR(__xludf.DUMMYFUNCTION("IMPORTRANGE(""https://docs.google.com/spreadsheets/d/1XWAQStnk-4SwqDmLtmXYiTMKHgktTP8We1SCoS47DrQ/edit?usp=sharing"",""จัดที่ดิน!BF71"")"),0)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IFERROR(__xludf.DUMMYFUNCTION("IMPORTRANGE(""https://docs.google.com/spreadsheets/d/1XWAQStnk-4SwqDmLtmXYiTMKHgktTP8We1SCoS47DrQ/edit?usp=sharing"",""จัดที่ดิน!BG71"")"),0)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IFERROR(__xludf.DUMMYFUNCTION("IMPORTRANGE(""https://docs.google.com/spreadsheets/d/1QqKyyYR6Q21VydFLVH3TRQUabQu_ym0Zz7PgGX0-kHA/edit?usp=sharing"",""แผน!II71"")"),0)</f>
        <v>0</v>
      </c>
      <c r="J720" s="270">
        <f ca="1">IFERROR(__xludf.DUMMYFUNCTION("IMPORTRANGE(""https://docs.google.com/spreadsheets/d/1XWAQStnk-4SwqDmLtmXYiTMKHgktTP8We1SCoS47DrQ/edit?usp=sharing"",""จัดที่ดิน!BH71"")"),0)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IFERROR(__xludf.DUMMYFUNCTION("IMPORTRANGE(""https://docs.google.com/spreadsheets/d/1QqKyyYR6Q21VydFLVH3TRQUabQu_ym0Zz7PgGX0-kHA/edit?usp=sharing"",""แผน!IJ71"")"),1)</f>
        <v>1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IFERROR(__xludf.DUMMYFUNCTION("IMPORTRANGE(""https://docs.google.com/spreadsheets/d/1QqKyyYR6Q21VydFLVH3TRQUabQu_ym0Zz7PgGX0-kHA/edit?usp=sharing"",""แผน!IK71"")"),15)</f>
        <v>15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IFERROR(__xludf.DUMMYFUNCTION("IMPORTRANGE(""https://docs.google.com/spreadsheets/d/1QqKyyYR6Q21VydFLVH3TRQUabQu_ym0Zz7PgGX0-kHA/edit?usp=sharing"",""แผน!IL71"")"),1)</f>
        <v>1</v>
      </c>
      <c r="J723" s="270">
        <f ca="1">IFERROR(__xludf.DUMMYFUNCTION("IMPORTRANGE(""https://docs.google.com/spreadsheets/d/1XWAQStnk-4SwqDmLtmXYiTMKHgktTP8We1SCoS47DrQ/edit?usp=sharing"",""จัดที่ดิน!BM71"")"),0)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IFERROR(__xludf.DUMMYFUNCTION("IMPORTRANGE(""https://docs.google.com/spreadsheets/d/1XWAQStnk-4SwqDmLtmXYiTMKHgktTP8We1SCoS47DrQ/edit?usp=sharing"",""จัดที่ดิน!BN71"")"),0)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IFERROR(__xludf.DUMMYFUNCTION("IMPORTRANGE(""https://docs.google.com/spreadsheets/d/1QqKyyYR6Q21VydFLVH3TRQUabQu_ym0Zz7PgGX0-kHA/edit?usp=sharing"",""แผน!IM71"")"),15)</f>
        <v>15</v>
      </c>
      <c r="J725" s="270">
        <f ca="1">IFERROR(__xludf.DUMMYFUNCTION("IMPORTRANGE(""https://docs.google.com/spreadsheets/d/1XWAQStnk-4SwqDmLtmXYiTMKHgktTP8We1SCoS47DrQ/edit?usp=sharing"",""จัดที่ดิน!BO71"")"),0)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IFERROR(__xludf.DUMMYFUNCTION("IMPORTRANGE(""https://docs.google.com/spreadsheets/d/1QqKyyYR6Q21VydFLVH3TRQUabQu_ym0Zz7PgGX0-kHA/edit?usp=sharing"",""แผน!IN71"")"),0)</f>
        <v>0</v>
      </c>
      <c r="J726" s="270">
        <f ca="1">IFERROR(__xludf.DUMMYFUNCTION("IMPORTRANGE(""https://docs.google.com/spreadsheets/d/1XWAQStnk-4SwqDmLtmXYiTMKHgktTP8We1SCoS47DrQ/edit?usp=sharing"",""จัดที่ดิน!BR71"")"),0)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IFERROR(__xludf.DUMMYFUNCTION("IMPORTRANGE(""https://docs.google.com/spreadsheets/d/1QqKyyYR6Q21VydFLVH3TRQUabQu_ym0Zz7PgGX0-kHA/edit?usp=sharing"",""แผน!IO71"")"),0)</f>
        <v>0</v>
      </c>
      <c r="J728" s="270">
        <f ca="1">IFERROR(__xludf.DUMMYFUNCTION("IMPORTRANGE(""https://docs.google.com/spreadsheets/d/1XWAQStnk-4SwqDmLtmXYiTMKHgktTP8We1SCoS47DrQ/edit?usp=sharing"",""จัดที่ดิน!BT71"")"),0)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IFERROR(__xludf.DUMMYFUNCTION("IMPORTRANGE(""https://docs.google.com/spreadsheets/d/1QqKyyYR6Q21VydFLVH3TRQUabQu_ym0Zz7PgGX0-kHA/edit?usp=sharing"",""แผน!IP71"")"),0)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IFERROR(__xludf.DUMMYFUNCTION("IMPORTRANGE(""https://docs.google.com/spreadsheets/d/1QqKyyYR6Q21VydFLVH3TRQUabQu_ym0Zz7PgGX0-kHA/edit?usp=sharing"",""แผน!JJ71"")"),0)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IFERROR(__xludf.DUMMYFUNCTION("IMPORTRANGE(""https://docs.google.com/spreadsheets/d/1QqKyyYR6Q21VydFLVH3TRQUabQu_ym0Zz7PgGX0-kHA/edit?usp=sharing"",""แผน!JN71"")"),0)</f>
        <v>0</v>
      </c>
      <c r="J800" s="184">
        <f ca="1">IFERROR(__xludf.DUMMYFUNCTION("IMPORTRANGE(""https://docs.google.com/spreadsheets/d/1MaWodYyGHDf7siQLGxnXhG4mBNTNIuy296niS2xXulU/edit?usp=sharing"",""RTK!H71"")"),0)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IFERROR(__xludf.DUMMYFUNCTION("IMPORTRANGE(""https://docs.google.com/spreadsheets/d/19vJNZY_5yjcGF2XGBMNZRCAIB0Kwfpjp8YEOfu-bneM/edit?usp=sharing"",""งานกองทุน!D71"")"),580000)</f>
        <v>580000</v>
      </c>
      <c r="J821" s="270">
        <f ca="1">IFERROR(__xludf.DUMMYFUNCTION("IMPORTRANGE(""https://docs.google.com/spreadsheets/d/19vJNZY_5yjcGF2XGBMNZRCAIB0Kwfpjp8YEOfu-bneM/edit?usp=sharing"",""งานกองทุน!F71"")"),580000)</f>
        <v>580000</v>
      </c>
      <c r="K821" s="497">
        <f t="shared" ref="K821:K828" ca="1" si="334">IF(I821&gt;0,J821*100/I821,0)</f>
        <v>100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IFERROR(__xludf.DUMMYFUNCTION("IMPORTRANGE(""https://docs.google.com/spreadsheets/d/19vJNZY_5yjcGF2XGBMNZRCAIB0Kwfpjp8YEOfu-bneM/edit?usp=sharing"",""งานกองทุน!C71"")"),20)</f>
        <v>20</v>
      </c>
      <c r="J822" s="270">
        <f ca="1">IFERROR(__xludf.DUMMYFUNCTION("IMPORTRANGE(""https://docs.google.com/spreadsheets/d/19vJNZY_5yjcGF2XGBMNZRCAIB0Kwfpjp8YEOfu-bneM/edit?usp=sharing"",""งานกองทุน!E71"")"),20)</f>
        <v>20</v>
      </c>
      <c r="K822" s="497">
        <f t="shared" ca="1" si="334"/>
        <v>100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IFERROR(__xludf.DUMMYFUNCTION("IMPORTRANGE(""https://docs.google.com/spreadsheets/d/19vJNZY_5yjcGF2XGBMNZRCAIB0Kwfpjp8YEOfu-bneM/edit?usp=sharing"",""งานกองทุน!I71"")"),0)</f>
        <v>0</v>
      </c>
      <c r="J823" s="270">
        <f ca="1">IFERROR(__xludf.DUMMYFUNCTION("IMPORTRANGE(""https://docs.google.com/spreadsheets/d/19vJNZY_5yjcGF2XGBMNZRCAIB0Kwfpjp8YEOfu-bneM/edit?usp=sharing"",""งานกองทุน!K71"")"),0)</f>
        <v>0</v>
      </c>
      <c r="K823" s="497">
        <f t="shared" ca="1" si="334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IFERROR(__xludf.DUMMYFUNCTION("IMPORTRANGE(""https://docs.google.com/spreadsheets/d/19vJNZY_5yjcGF2XGBMNZRCAIB0Kwfpjp8YEOfu-bneM/edit?usp=sharing"",""งานกองทุน!H71"")"),0)</f>
        <v>0</v>
      </c>
      <c r="J824" s="270">
        <f ca="1">IFERROR(__xludf.DUMMYFUNCTION("IMPORTRANGE(""https://docs.google.com/spreadsheets/d/19vJNZY_5yjcGF2XGBMNZRCAIB0Kwfpjp8YEOfu-bneM/edit?usp=sharing"",""งานกองทุน!J71"")"),0)</f>
        <v>0</v>
      </c>
      <c r="K824" s="497">
        <f t="shared" ca="1" si="334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70">
        <f ca="1">IFERROR(__xludf.DUMMYFUNCTION("IMPORTRANGE(""https://docs.google.com/spreadsheets/d/19vJNZY_5yjcGF2XGBMNZRCAIB0Kwfpjp8YEOfu-bneM/edit?usp=sharing"",""งานกองทุน!P71"")"),45336.31)</f>
        <v>45336.31</v>
      </c>
      <c r="K825" s="497">
        <f t="shared" ca="1" si="334"/>
        <v>64.933118743466238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IFERROR(__xludf.DUMMYFUNCTION("IMPORTRANGE(""https://docs.google.com/spreadsheets/d/19vJNZY_5yjcGF2XGBMNZRCAIB0Kwfpjp8YEOfu-bneM/edit?usp=sharing"",""งานกองทุน!M71"")"),24)</f>
        <v>24</v>
      </c>
      <c r="J826" s="270">
        <f ca="1">IFERROR(__xludf.DUMMYFUNCTION("IMPORTRANGE(""https://docs.google.com/spreadsheets/d/19vJNZY_5yjcGF2XGBMNZRCAIB0Kwfpjp8YEOfu-bneM/edit?usp=sharing"",""งานกองทุน!O71"")"),23)</f>
        <v>23</v>
      </c>
      <c r="K826" s="497">
        <f t="shared" ca="1" si="334"/>
        <v>95.833333333333329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IFERROR(__xludf.DUMMYFUNCTION("IMPORTRANGE(""https://docs.google.com/spreadsheets/d/19vJNZY_5yjcGF2XGBMNZRCAIB0Kwfpjp8YEOfu-bneM/edit?usp=sharing"",""งานกองทุน!S71"")"),560000)</f>
        <v>560000</v>
      </c>
      <c r="J827" s="270">
        <f ca="1">IFERROR(__xludf.DUMMYFUNCTION("IMPORTRANGE(""https://docs.google.com/spreadsheets/d/19vJNZY_5yjcGF2XGBMNZRCAIB0Kwfpjp8YEOfu-bneM/edit?usp=sharing"",""งานกองทุน!U71"")"),560000)</f>
        <v>560000</v>
      </c>
      <c r="K827" s="497">
        <f t="shared" ca="1" si="334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IFERROR(__xludf.DUMMYFUNCTION("IMPORTRANGE(""https://docs.google.com/spreadsheets/d/19vJNZY_5yjcGF2XGBMNZRCAIB0Kwfpjp8YEOfu-bneM/edit?usp=sharing"",""งานกองทุน!R71"")"),19)</f>
        <v>19</v>
      </c>
      <c r="J828" s="501">
        <f ca="1">IFERROR(__xludf.DUMMYFUNCTION("IMPORTRANGE(""https://docs.google.com/spreadsheets/d/19vJNZY_5yjcGF2XGBMNZRCAIB0Kwfpjp8YEOfu-bneM/edit?usp=sharing"",""งานกองทุน!T71"")"),19)</f>
        <v>19</v>
      </c>
      <c r="K828" s="502">
        <f t="shared" ca="1" si="334"/>
        <v>100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2B9B-871C-4DAA-8C29-50B8D90944D1}">
  <sheetPr codeName="Sheet21"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6284418</v>
      </c>
      <c r="M8" s="22">
        <f t="shared" ca="1" si="0"/>
        <v>6367071</v>
      </c>
      <c r="N8" s="22">
        <f t="shared" ca="1" si="0"/>
        <v>5272925.4800000004</v>
      </c>
      <c r="O8" s="22">
        <f t="shared" ref="O8:O16" ca="1" si="1">IF(L8&gt;0,N8*100/L8,0)</f>
        <v>83.904754266823133</v>
      </c>
      <c r="P8" s="22">
        <f t="shared" ref="P8:P16" ca="1" si="2">IF(M8&gt;0,N8*100/M8,0)</f>
        <v>82.815559619171836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6284418</v>
      </c>
      <c r="M10" s="30">
        <f t="shared" ca="1" si="3"/>
        <v>6367071</v>
      </c>
      <c r="N10" s="30">
        <f t="shared" ca="1" si="3"/>
        <v>5272925.4800000004</v>
      </c>
      <c r="O10" s="30">
        <f t="shared" ca="1" si="1"/>
        <v>83.904754266823133</v>
      </c>
      <c r="P10" s="30">
        <f t="shared" ca="1" si="2"/>
        <v>82.815559619171836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6000318</v>
      </c>
      <c r="M11" s="497">
        <f t="shared" ca="1" si="4"/>
        <v>6095571</v>
      </c>
      <c r="N11" s="497">
        <f t="shared" ca="1" si="4"/>
        <v>5001425.4800000004</v>
      </c>
      <c r="O11" s="497">
        <f t="shared" ca="1" si="1"/>
        <v>83.352673641630332</v>
      </c>
      <c r="P11" s="497">
        <f t="shared" ca="1" si="2"/>
        <v>82.050155432526353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6000318</v>
      </c>
      <c r="M13" s="93">
        <f t="shared" ca="1" si="5"/>
        <v>6095571</v>
      </c>
      <c r="N13" s="93">
        <f t="shared" ca="1" si="5"/>
        <v>5001425.4800000004</v>
      </c>
      <c r="O13" s="93">
        <f t="shared" ca="1" si="1"/>
        <v>83.352673641630332</v>
      </c>
      <c r="P13" s="93">
        <f t="shared" ca="1" si="2"/>
        <v>82.050155432526353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284100</v>
      </c>
      <c r="M14" s="497">
        <f t="shared" ca="1" si="6"/>
        <v>271500</v>
      </c>
      <c r="N14" s="497">
        <f t="shared" ca="1" si="6"/>
        <v>271500</v>
      </c>
      <c r="O14" s="497">
        <f t="shared" ca="1" si="1"/>
        <v>95.564941921858505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284100</v>
      </c>
      <c r="M16" s="52">
        <f t="shared" ca="1" si="7"/>
        <v>271500</v>
      </c>
      <c r="N16" s="52">
        <f t="shared" ca="1" si="7"/>
        <v>271500</v>
      </c>
      <c r="O16" s="52">
        <f t="shared" ca="1" si="1"/>
        <v>95.564941921858505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4523650</v>
      </c>
      <c r="M18" s="22">
        <f t="shared" ca="1" si="8"/>
        <v>4613893</v>
      </c>
      <c r="N18" s="22">
        <f t="shared" ca="1" si="8"/>
        <v>3773253.41</v>
      </c>
      <c r="O18" s="22">
        <f t="shared" ref="O18:O26" ca="1" si="9">IF(L18&gt;0,N18*100/L18,0)</f>
        <v>83.411700949454527</v>
      </c>
      <c r="P18" s="22">
        <f t="shared" ref="P18:P26" ca="1" si="10">IF(M18&gt;0,N18*100/M18,0)</f>
        <v>81.780253898389063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4523650</v>
      </c>
      <c r="M20" s="30">
        <f t="shared" ca="1" si="11"/>
        <v>4613893</v>
      </c>
      <c r="N20" s="30">
        <f t="shared" ca="1" si="11"/>
        <v>3773253.41</v>
      </c>
      <c r="O20" s="30">
        <f t="shared" ca="1" si="9"/>
        <v>83.411700949454527</v>
      </c>
      <c r="P20" s="30">
        <f t="shared" ca="1" si="10"/>
        <v>81.780253898389063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4239550</v>
      </c>
      <c r="M21" s="497">
        <f t="shared" ca="1" si="12"/>
        <v>4342393</v>
      </c>
      <c r="N21" s="497">
        <f t="shared" ca="1" si="12"/>
        <v>3501753.41</v>
      </c>
      <c r="O21" s="497">
        <f t="shared" ca="1" si="9"/>
        <v>82.597290042575267</v>
      </c>
      <c r="P21" s="497">
        <f t="shared" ca="1" si="10"/>
        <v>80.641098352912778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4239550</v>
      </c>
      <c r="M23" s="93">
        <f t="shared" ca="1" si="13"/>
        <v>4342393</v>
      </c>
      <c r="N23" s="93">
        <f t="shared" ca="1" si="13"/>
        <v>3501753.41</v>
      </c>
      <c r="O23" s="93">
        <f t="shared" ca="1" si="9"/>
        <v>82.597290042575267</v>
      </c>
      <c r="P23" s="93">
        <f t="shared" ca="1" si="10"/>
        <v>80.641098352912778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284100</v>
      </c>
      <c r="M24" s="497">
        <f t="shared" ca="1" si="14"/>
        <v>271500</v>
      </c>
      <c r="N24" s="497">
        <f t="shared" ca="1" si="14"/>
        <v>271500</v>
      </c>
      <c r="O24" s="497">
        <f t="shared" ca="1" si="9"/>
        <v>95.564941921858505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284100</v>
      </c>
      <c r="M26" s="52">
        <f t="shared" ca="1" si="15"/>
        <v>271500</v>
      </c>
      <c r="N26" s="52">
        <f t="shared" ca="1" si="15"/>
        <v>271500</v>
      </c>
      <c r="O26" s="52">
        <f t="shared" ca="1" si="9"/>
        <v>95.564941921858505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1760768</v>
      </c>
      <c r="M28" s="22">
        <f t="shared" ca="1" si="16"/>
        <v>1753178</v>
      </c>
      <c r="N28" s="22">
        <f t="shared" si="16"/>
        <v>1499672.07</v>
      </c>
      <c r="O28" s="22">
        <f t="shared" ref="O28:O37" ca="1" si="17">IF(L28&gt;0,N28*100/L28,0)</f>
        <v>85.171474606535327</v>
      </c>
      <c r="P28" s="22">
        <f t="shared" ref="P28:P37" ca="1" si="18">IF(M28&gt;0,N28*100/M28,0)</f>
        <v>85.540205843331364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1760768</v>
      </c>
      <c r="M30" s="30">
        <f t="shared" ca="1" si="19"/>
        <v>1753178</v>
      </c>
      <c r="N30" s="30">
        <f t="shared" si="19"/>
        <v>1499672.07</v>
      </c>
      <c r="O30" s="30">
        <f t="shared" ca="1" si="17"/>
        <v>85.171474606535327</v>
      </c>
      <c r="P30" s="30">
        <f t="shared" ca="1" si="18"/>
        <v>85.540205843331364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1760768</v>
      </c>
      <c r="M31" s="497">
        <f t="shared" ca="1" si="20"/>
        <v>1753178</v>
      </c>
      <c r="N31" s="497">
        <f t="shared" si="20"/>
        <v>1499672.07</v>
      </c>
      <c r="O31" s="497">
        <f t="shared" ca="1" si="17"/>
        <v>85.171474606535327</v>
      </c>
      <c r="P31" s="497">
        <f t="shared" ca="1" si="18"/>
        <v>85.540205843331364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1760768</v>
      </c>
      <c r="M33" s="93">
        <f t="shared" ca="1" si="21"/>
        <v>1753178</v>
      </c>
      <c r="N33" s="93">
        <f t="shared" si="21"/>
        <v>1499672.07</v>
      </c>
      <c r="O33" s="93">
        <f t="shared" ca="1" si="17"/>
        <v>85.171474606535327</v>
      </c>
      <c r="P33" s="93">
        <f t="shared" ca="1" si="18"/>
        <v>85.540205843331364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4523650</v>
      </c>
      <c r="M37" s="59">
        <f t="shared" ca="1" si="24"/>
        <v>4613893</v>
      </c>
      <c r="N37" s="59">
        <f t="shared" ca="1" si="24"/>
        <v>3773253.41</v>
      </c>
      <c r="O37" s="59">
        <f t="shared" ca="1" si="17"/>
        <v>83.411700949454527</v>
      </c>
      <c r="P37" s="59">
        <f t="shared" ca="1" si="18"/>
        <v>81.780253898389063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801350</v>
      </c>
      <c r="M41" s="85">
        <f t="shared" ca="1" si="25"/>
        <v>808293</v>
      </c>
      <c r="N41" s="85">
        <f t="shared" ca="1" si="25"/>
        <v>806539.77</v>
      </c>
      <c r="O41" s="85">
        <f t="shared" ref="O41:O49" ca="1" si="26">IF(L41&gt;0,N41*100/L41,0)</f>
        <v>100.64762837711362</v>
      </c>
      <c r="P41" s="85">
        <f t="shared" ref="P41:P49" ca="1" si="27">IF(M41&gt;0,N41*100/M41,0)</f>
        <v>99.78309474410888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801350</v>
      </c>
      <c r="M43" s="92">
        <f t="shared" ca="1" si="28"/>
        <v>808293</v>
      </c>
      <c r="N43" s="92">
        <f t="shared" ca="1" si="28"/>
        <v>806539.77</v>
      </c>
      <c r="O43" s="92">
        <f t="shared" ca="1" si="26"/>
        <v>100.64762837711362</v>
      </c>
      <c r="P43" s="92">
        <f t="shared" ca="1" si="27"/>
        <v>99.78309474410888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801350</v>
      </c>
      <c r="M44" s="497">
        <f t="shared" ca="1" si="29"/>
        <v>808293</v>
      </c>
      <c r="N44" s="497">
        <f t="shared" ca="1" si="29"/>
        <v>806539.77</v>
      </c>
      <c r="O44" s="497">
        <f t="shared" ca="1" si="26"/>
        <v>100.64762837711362</v>
      </c>
      <c r="P44" s="497">
        <f t="shared" ca="1" si="27"/>
        <v>99.78309474410888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IFERROR(__xludf.DUMMYFUNCTION("IMPORTRANGE(""https://docs.google.com/spreadsheets/d/1MeEWN-I1oV_STSDYn1IFDPWt_1FKiwhDph83XaGc0o0/edit?usp=sharing"",""งบพรบ!M72"")"),801350)</f>
        <v>801350</v>
      </c>
      <c r="M46" s="93">
        <f ca="1">IFERROR(__xludf.DUMMYFUNCTION("IMPORTRANGE(""https://docs.google.com/spreadsheets/d/1MeEWN-I1oV_STSDYn1IFDPWt_1FKiwhDph83XaGc0o0/edit?usp=sharing"",""งบพรบ!R72"")"),808293)</f>
        <v>808293</v>
      </c>
      <c r="N46" s="93">
        <f ca="1">IFERROR(__xludf.DUMMYFUNCTION("IMPORTRANGE(""https://docs.google.com/spreadsheets/d/1MeEWN-I1oV_STSDYn1IFDPWt_1FKiwhDph83XaGc0o0/edit?usp=sharing"",""งบพรบ!T72"")"),806539.77)</f>
        <v>806539.77</v>
      </c>
      <c r="O46" s="93">
        <f t="shared" ca="1" si="26"/>
        <v>100.64762837711362</v>
      </c>
      <c r="P46" s="93">
        <f t="shared" ca="1" si="27"/>
        <v>99.78309474410888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IFERROR(__xludf.DUMMYFUNCTION("IMPORTRANGE(""https://docs.google.com/spreadsheets/d/1MeEWN-I1oV_STSDYn1IFDPWt_1FKiwhDph83XaGc0o0/edit?usp=sharing"",""งบพรบ!P72"")"),0)</f>
        <v>0</v>
      </c>
      <c r="M49" s="52">
        <f ca="1">IFERROR(__xludf.DUMMYFUNCTION("IMPORTRANGE(""https://docs.google.com/spreadsheets/d/1MeEWN-I1oV_STSDYn1IFDPWt_1FKiwhDph83XaGc0o0/edit?usp=sharing"",""งบพรบ!S72"")"),0)</f>
        <v>0</v>
      </c>
      <c r="N49" s="52">
        <f ca="1">IFERROR(__xludf.DUMMYFUNCTION("IMPORTRANGE(""https://docs.google.com/spreadsheets/d/1MeEWN-I1oV_STSDYn1IFDPWt_1FKiwhDph83XaGc0o0/edit?usp=sharing"",""งบพรบ!U72"")"),0)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993400</v>
      </c>
      <c r="M53" s="116">
        <f t="shared" ca="1" si="31"/>
        <v>991700</v>
      </c>
      <c r="N53" s="116">
        <f t="shared" ca="1" si="31"/>
        <v>853498.66</v>
      </c>
      <c r="O53" s="116">
        <f t="shared" ref="O53:O61" ca="1" si="32">IF(L53&gt;0,N53*100/L53,0)</f>
        <v>85.916917656533116</v>
      </c>
      <c r="P53" s="116">
        <f t="shared" ref="P53:P61" ca="1" si="33">IF(M53&gt;0,N53*100/M53,0)</f>
        <v>86.064198850458808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993400</v>
      </c>
      <c r="M55" s="123">
        <f t="shared" ca="1" si="34"/>
        <v>991700</v>
      </c>
      <c r="N55" s="123">
        <f t="shared" ca="1" si="34"/>
        <v>853498.66</v>
      </c>
      <c r="O55" s="123">
        <f t="shared" ca="1" si="32"/>
        <v>85.916917656533116</v>
      </c>
      <c r="P55" s="123">
        <f t="shared" ca="1" si="33"/>
        <v>86.064198850458808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852900</v>
      </c>
      <c r="M56" s="497">
        <f t="shared" ca="1" si="35"/>
        <v>863800</v>
      </c>
      <c r="N56" s="497">
        <f t="shared" ca="1" si="35"/>
        <v>725598.66</v>
      </c>
      <c r="O56" s="497">
        <f t="shared" ca="1" si="32"/>
        <v>85.074294759057338</v>
      </c>
      <c r="P56" s="497">
        <f t="shared" ca="1" si="33"/>
        <v>84.000771011808283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IFERROR(__xludf.DUMMYFUNCTION("IMPORTRANGE(""https://docs.google.com/spreadsheets/d/1MeEWN-I1oV_STSDYn1IFDPWt_1FKiwhDph83XaGc0o0/edit?usp=sharing"",""งบพรบ!W72"")"),852900)</f>
        <v>852900</v>
      </c>
      <c r="M58" s="93">
        <f ca="1">IFERROR(__xludf.DUMMYFUNCTION("IMPORTRANGE(""https://docs.google.com/spreadsheets/d/1MeEWN-I1oV_STSDYn1IFDPWt_1FKiwhDph83XaGc0o0/edit?usp=sharing"",""งบพรบ!AB72"")"),863800)</f>
        <v>863800</v>
      </c>
      <c r="N58" s="93">
        <f ca="1">IFERROR(__xludf.DUMMYFUNCTION("IMPORTRANGE(""https://docs.google.com/spreadsheets/d/1MeEWN-I1oV_STSDYn1IFDPWt_1FKiwhDph83XaGc0o0/edit?usp=sharing"",""งบพรบ!AD72"")"),725598.66)</f>
        <v>725598.66</v>
      </c>
      <c r="O58" s="93">
        <f t="shared" ca="1" si="32"/>
        <v>85.074294759057338</v>
      </c>
      <c r="P58" s="93">
        <f t="shared" ca="1" si="33"/>
        <v>84.000771011808283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140500</v>
      </c>
      <c r="M59" s="497">
        <f t="shared" ca="1" si="36"/>
        <v>127900</v>
      </c>
      <c r="N59" s="497">
        <f t="shared" ca="1" si="36"/>
        <v>127900</v>
      </c>
      <c r="O59" s="497">
        <f t="shared" ca="1" si="32"/>
        <v>91.032028469750884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IFERROR(__xludf.DUMMYFUNCTION("IMPORTRANGE(""https://docs.google.com/spreadsheets/d/1MeEWN-I1oV_STSDYn1IFDPWt_1FKiwhDph83XaGc0o0/edit?usp=sharing"",""งบพรบ!Z72"")"),140500)</f>
        <v>140500</v>
      </c>
      <c r="M61" s="52">
        <f ca="1">IFERROR(__xludf.DUMMYFUNCTION("IMPORTRANGE(""https://docs.google.com/spreadsheets/d/1MeEWN-I1oV_STSDYn1IFDPWt_1FKiwhDph83XaGc0o0/edit?usp=sharing"",""งบพรบ!AC72"")"),127900)</f>
        <v>127900</v>
      </c>
      <c r="N61" s="52">
        <f ca="1">IFERROR(__xludf.DUMMYFUNCTION("IMPORTRANGE(""https://docs.google.com/spreadsheets/d/1MeEWN-I1oV_STSDYn1IFDPWt_1FKiwhDph83XaGc0o0/edit?usp=sharing"",""งบพรบ!AE72"")"),127900)</f>
        <v>127900</v>
      </c>
      <c r="O61" s="52">
        <f t="shared" ca="1" si="32"/>
        <v>91.032028469750884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94</v>
      </c>
      <c r="J65" s="144">
        <f t="shared" si="37"/>
        <v>94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1114000</v>
      </c>
      <c r="M66" s="155">
        <f t="shared" ca="1" si="39"/>
        <v>1114000</v>
      </c>
      <c r="N66" s="155">
        <f t="shared" ca="1" si="39"/>
        <v>817410.56000000006</v>
      </c>
      <c r="O66" s="155">
        <f t="shared" ref="O66:O74" ca="1" si="40">IF(L66&gt;0,N66*100/L66,0)</f>
        <v>73.376172351885103</v>
      </c>
      <c r="P66" s="155">
        <f t="shared" ref="P66:P74" ca="1" si="41">IF(M66&gt;0,N66*100/M66,0)</f>
        <v>73.376172351885103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1114000</v>
      </c>
      <c r="M68" s="93">
        <f t="shared" ca="1" si="42"/>
        <v>1114000</v>
      </c>
      <c r="N68" s="93">
        <f t="shared" ca="1" si="42"/>
        <v>817410.56000000006</v>
      </c>
      <c r="O68" s="93">
        <f t="shared" ca="1" si="40"/>
        <v>73.376172351885103</v>
      </c>
      <c r="P68" s="93">
        <f t="shared" ca="1" si="41"/>
        <v>73.376172351885103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1114000</v>
      </c>
      <c r="M69" s="497">
        <f t="shared" ca="1" si="43"/>
        <v>1114000</v>
      </c>
      <c r="N69" s="497">
        <f t="shared" ca="1" si="43"/>
        <v>817410.56000000006</v>
      </c>
      <c r="O69" s="497">
        <f t="shared" ca="1" si="40"/>
        <v>73.376172351885103</v>
      </c>
      <c r="P69" s="497">
        <f t="shared" ca="1" si="41"/>
        <v>73.376172351885103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IFERROR(__xludf.DUMMYFUNCTION("IMPORTRANGE(""https://docs.google.com/spreadsheets/d/1MeEWN-I1oV_STSDYn1IFDPWt_1FKiwhDph83XaGc0o0/edit?usp=sharing"",""งบพรบ!AG72"")"),1114000)</f>
        <v>1114000</v>
      </c>
      <c r="M71" s="93">
        <f ca="1">IFERROR(__xludf.DUMMYFUNCTION("IMPORTRANGE(""https://docs.google.com/spreadsheets/d/1MeEWN-I1oV_STSDYn1IFDPWt_1FKiwhDph83XaGc0o0/edit?usp=sharing"",""งบพรบ!AL72"")"),1114000)</f>
        <v>1114000</v>
      </c>
      <c r="N71" s="93">
        <f ca="1">IFERROR(__xludf.DUMMYFUNCTION("IMPORTRANGE(""https://docs.google.com/spreadsheets/d/1MeEWN-I1oV_STSDYn1IFDPWt_1FKiwhDph83XaGc0o0/edit?usp=sharing"",""งบพรบ!AN72"")"),817410.56)</f>
        <v>817410.56000000006</v>
      </c>
      <c r="O71" s="93">
        <f t="shared" ca="1" si="40"/>
        <v>73.376172351885103</v>
      </c>
      <c r="P71" s="93">
        <f t="shared" ca="1" si="41"/>
        <v>73.376172351885103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IFERROR(__xludf.DUMMYFUNCTION("IMPORTRANGE(""https://docs.google.com/spreadsheets/d/1MeEWN-I1oV_STSDYn1IFDPWt_1FKiwhDph83XaGc0o0/edit?usp=sharing"",""งบพรบ!AJ72"")"),0)</f>
        <v>0</v>
      </c>
      <c r="M74" s="93">
        <f ca="1">IFERROR(__xludf.DUMMYFUNCTION("IMPORTRANGE(""https://docs.google.com/spreadsheets/d/1MeEWN-I1oV_STSDYn1IFDPWt_1FKiwhDph83XaGc0o0/edit?usp=sharing"",""งบพรบ!AM72"")"),0)</f>
        <v>0</v>
      </c>
      <c r="N74" s="93">
        <f ca="1">IFERROR(__xludf.DUMMYFUNCTION("IMPORTRANGE(""https://docs.google.com/spreadsheets/d/1MeEWN-I1oV_STSDYn1IFDPWt_1FKiwhDph83XaGc0o0/edit?usp=sharing"",""งบพรบ!AO72"")"),0)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94</v>
      </c>
      <c r="J77" s="270">
        <f t="shared" si="45"/>
        <v>94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IFERROR(__xludf.DUMMYFUNCTION("IMPORTRANGE(""https://docs.google.com/spreadsheets/d/1QqKyyYR6Q21VydFLVH3TRQUabQu_ym0Zz7PgGX0-kHA/edit?usp=sharing"",""แผน!I72"")"),94)</f>
        <v>94</v>
      </c>
      <c r="J79" s="215">
        <v>94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116140</v>
      </c>
      <c r="M88" s="155">
        <f t="shared" ca="1" si="49"/>
        <v>116140</v>
      </c>
      <c r="N88" s="155">
        <f t="shared" ca="1" si="49"/>
        <v>77340</v>
      </c>
      <c r="O88" s="155">
        <f t="shared" ref="O88:O96" ca="1" si="50">IF(L88&gt;0,N88*100/L88,0)</f>
        <v>66.59204408472533</v>
      </c>
      <c r="P88" s="155">
        <f t="shared" ref="P88:P96" ca="1" si="51">IF(M88&gt;0,N88*100/M88,0)</f>
        <v>66.59204408472533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116140</v>
      </c>
      <c r="M90" s="93">
        <f t="shared" ca="1" si="52"/>
        <v>116140</v>
      </c>
      <c r="N90" s="93">
        <f t="shared" ca="1" si="52"/>
        <v>77340</v>
      </c>
      <c r="O90" s="93">
        <f t="shared" ca="1" si="50"/>
        <v>66.59204408472533</v>
      </c>
      <c r="P90" s="93">
        <f t="shared" ca="1" si="51"/>
        <v>66.59204408472533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116140</v>
      </c>
      <c r="M91" s="497">
        <f t="shared" ca="1" si="53"/>
        <v>116140</v>
      </c>
      <c r="N91" s="497">
        <f t="shared" ca="1" si="53"/>
        <v>77340</v>
      </c>
      <c r="O91" s="497">
        <f t="shared" ca="1" si="50"/>
        <v>66.59204408472533</v>
      </c>
      <c r="P91" s="497">
        <f t="shared" ca="1" si="51"/>
        <v>66.59204408472533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IFERROR(__xludf.DUMMYFUNCTION("IMPORTRANGE(""https://docs.google.com/spreadsheets/d/1MeEWN-I1oV_STSDYn1IFDPWt_1FKiwhDph83XaGc0o0/edit?usp=sharing"",""งบพรบ!AQ72"")"),116140)</f>
        <v>116140</v>
      </c>
      <c r="M93" s="93">
        <f ca="1">IFERROR(__xludf.DUMMYFUNCTION("IMPORTRANGE(""https://docs.google.com/spreadsheets/d/1MeEWN-I1oV_STSDYn1IFDPWt_1FKiwhDph83XaGc0o0/edit?usp=sharing"",""งบพรบ!AV72"")"),116140)</f>
        <v>116140</v>
      </c>
      <c r="N93" s="93">
        <f ca="1">IFERROR(__xludf.DUMMYFUNCTION("IMPORTRANGE(""https://docs.google.com/spreadsheets/d/1MeEWN-I1oV_STSDYn1IFDPWt_1FKiwhDph83XaGc0o0/edit?usp=sharing"",""งบพรบ!AX72"")"),77340)</f>
        <v>77340</v>
      </c>
      <c r="O93" s="93">
        <f t="shared" ca="1" si="50"/>
        <v>66.59204408472533</v>
      </c>
      <c r="P93" s="93">
        <f t="shared" ca="1" si="51"/>
        <v>66.59204408472533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IFERROR(__xludf.DUMMYFUNCTION("IMPORTRANGE(""https://docs.google.com/spreadsheets/d/1MeEWN-I1oV_STSDYn1IFDPWt_1FKiwhDph83XaGc0o0/edit?usp=sharing"",""งบพรบ!AT72"")"),0)</f>
        <v>0</v>
      </c>
      <c r="M96" s="93">
        <f ca="1">IFERROR(__xludf.DUMMYFUNCTION("IMPORTRANGE(""https://docs.google.com/spreadsheets/d/1MeEWN-I1oV_STSDYn1IFDPWt_1FKiwhDph83XaGc0o0/edit?usp=sharing"",""งบพรบ!AW72"")"),0)</f>
        <v>0</v>
      </c>
      <c r="N96" s="93">
        <f ca="1">IFERROR(__xludf.DUMMYFUNCTION("IMPORTRANGE(""https://docs.google.com/spreadsheets/d/1MeEWN-I1oV_STSDYn1IFDPWt_1FKiwhDph83XaGc0o0/edit?usp=sharing"",""งบพรบ!AY72"")"),0)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IFERROR(__xludf.DUMMYFUNCTION("IMPORTRANGE(""https://docs.google.com/spreadsheets/d/1QqKyyYR6Q21VydFLVH3TRQUabQu_ym0Zz7PgGX0-kHA/edit?usp=sharing"",""แผน!M72"")"),3)</f>
        <v>3</v>
      </c>
      <c r="J100" s="270">
        <f>J107+J110</f>
        <v>2</v>
      </c>
      <c r="K100" s="497">
        <f t="shared" ca="1" si="55"/>
        <v>66.666666666666671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IFERROR(__xludf.DUMMYFUNCTION("IMPORTRANGE(""https://docs.google.com/spreadsheets/d/1QqKyyYR6Q21VydFLVH3TRQUabQu_ym0Zz7PgGX0-kHA/edit?usp=sharing"",""แผน!P72"")"),2)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IFERROR(__xludf.DUMMYFUNCTION("IMPORTRANGE(""https://docs.google.com/spreadsheets/d/1QqKyyYR6Q21VydFLVH3TRQUabQu_ym0Zz7PgGX0-kHA/edit?usp=sharing"",""แผน!P72"")"),2)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IFERROR(__xludf.DUMMYFUNCTION("IMPORTRANGE(""https://docs.google.com/spreadsheets/d/1QqKyyYR6Q21VydFLVH3TRQUabQu_ym0Zz7PgGX0-kHA/edit?usp=sharing"",""แผน!Q72"")"),1)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IFERROR(__xludf.DUMMYFUNCTION("IMPORTRANGE(""https://docs.google.com/spreadsheets/d/1QqKyyYR6Q21VydFLVH3TRQUabQu_ym0Zz7PgGX0-kHA/edit?usp=sharing"",""แผน!Q72"")"),1)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IFERROR(__xludf.DUMMYFUNCTION("IMPORTRANGE(""https://docs.google.com/spreadsheets/d/1QqKyyYR6Q21VydFLVH3TRQUabQu_ym0Zz7PgGX0-kHA/edit?usp=sharing"",""แผน!R72"")"),10)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IFERROR(__xludf.DUMMYFUNCTION("IMPORTRANGE(""https://docs.google.com/spreadsheets/d/1QqKyyYR6Q21VydFLVH3TRQUabQu_ym0Zz7PgGX0-kHA/edit?usp=sharing"",""แผน!S72"")"),2)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IFERROR(__xludf.DUMMYFUNCTION("IMPORTRANGE(""https://docs.google.com/spreadsheets/d/1MeEWN-I1oV_STSDYn1IFDPWt_1FKiwhDph83XaGc0o0/edit?usp=sharing"",""งบพรบ!BA72"")"),0)</f>
        <v>0</v>
      </c>
      <c r="M124" s="93">
        <f ca="1">IFERROR(__xludf.DUMMYFUNCTION("IMPORTRANGE(""https://docs.google.com/spreadsheets/d/1MeEWN-I1oV_STSDYn1IFDPWt_1FKiwhDph83XaGc0o0/edit?usp=sharing"",""งบพรบ!BF72"")"),0)</f>
        <v>0</v>
      </c>
      <c r="N124" s="93">
        <f ca="1">IFERROR(__xludf.DUMMYFUNCTION("IMPORTRANGE(""https://docs.google.com/spreadsheets/d/1MeEWN-I1oV_STSDYn1IFDPWt_1FKiwhDph83XaGc0o0/edit?usp=sharing"",""งบพรบ!BH72"")"),0)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IFERROR(__xludf.DUMMYFUNCTION("IMPORTRANGE(""https://docs.google.com/spreadsheets/d/1MeEWN-I1oV_STSDYn1IFDPWt_1FKiwhDph83XaGc0o0/edit?usp=sharing"",""งบพรบ!BD72"")"),0)</f>
        <v>0</v>
      </c>
      <c r="M127" s="93">
        <f ca="1">IFERROR(__xludf.DUMMYFUNCTION("IMPORTRANGE(""https://docs.google.com/spreadsheets/d/1MeEWN-I1oV_STSDYn1IFDPWt_1FKiwhDph83XaGc0o0/edit?usp=sharing"",""งบพรบ!BG72"")"),0)</f>
        <v>0</v>
      </c>
      <c r="N127" s="93">
        <f ca="1">IFERROR(__xludf.DUMMYFUNCTION("IMPORTRANGE(""https://docs.google.com/spreadsheets/d/1MeEWN-I1oV_STSDYn1IFDPWt_1FKiwhDph83XaGc0o0/edit?usp=sharing"",""งบพรบ!BI72"")"),0)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IFERROR(__xludf.DUMMYFUNCTION("IMPORTRANGE(""https://docs.google.com/spreadsheets/d/1MeEWN-I1oV_STSDYn1IFDPWt_1FKiwhDph83XaGc0o0/edit?usp=sharing"",""งบพรบ!BK72"")"),0)</f>
        <v>0</v>
      </c>
      <c r="M137" s="93">
        <f ca="1">IFERROR(__xludf.DUMMYFUNCTION("IMPORTRANGE(""https://docs.google.com/spreadsheets/d/1MeEWN-I1oV_STSDYn1IFDPWt_1FKiwhDph83XaGc0o0/edit?usp=sharing"",""งบพรบ!BP72"")"),0)</f>
        <v>0</v>
      </c>
      <c r="N137" s="93">
        <f ca="1">IFERROR(__xludf.DUMMYFUNCTION("IMPORTRANGE(""https://docs.google.com/spreadsheets/d/1MeEWN-I1oV_STSDYn1IFDPWt_1FKiwhDph83XaGc0o0/edit?usp=sharing"",""งบพรบ!BR72"")"),0)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IFERROR(__xludf.DUMMYFUNCTION("IMPORTRANGE(""https://docs.google.com/spreadsheets/d/1MeEWN-I1oV_STSDYn1IFDPWt_1FKiwhDph83XaGc0o0/edit?usp=sharing"",""งบพรบ!BN72"")"),0)</f>
        <v>0</v>
      </c>
      <c r="M140" s="93">
        <f ca="1">IFERROR(__xludf.DUMMYFUNCTION("IMPORTRANGE(""https://docs.google.com/spreadsheets/d/1MeEWN-I1oV_STSDYn1IFDPWt_1FKiwhDph83XaGc0o0/edit?usp=sharing"",""งบพรบ!BQ72"")"),0)</f>
        <v>0</v>
      </c>
      <c r="N140" s="93">
        <f ca="1">IFERROR(__xludf.DUMMYFUNCTION("IMPORTRANGE(""https://docs.google.com/spreadsheets/d/1MeEWN-I1oV_STSDYn1IFDPWt_1FKiwhDph83XaGc0o0/edit?usp=sharing"",""งบพรบ!BS72"")"),0)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7280</v>
      </c>
      <c r="O149" s="155">
        <f t="shared" ref="O149:O157" ca="1" si="78">IF(L149&gt;0,N149*100/L149,0)</f>
        <v>97.066666666666663</v>
      </c>
      <c r="P149" s="155">
        <f t="shared" ref="P149:P157" ca="1" si="79">IF(M149&gt;0,N149*100/M149,0)</f>
        <v>97.066666666666663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7280</v>
      </c>
      <c r="O151" s="93">
        <f t="shared" ca="1" si="78"/>
        <v>97.066666666666663</v>
      </c>
      <c r="P151" s="93">
        <f t="shared" ca="1" si="79"/>
        <v>97.066666666666663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7280</v>
      </c>
      <c r="O152" s="497">
        <f t="shared" ca="1" si="78"/>
        <v>97.066666666666663</v>
      </c>
      <c r="P152" s="497">
        <f t="shared" ca="1" si="79"/>
        <v>97.066666666666663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IFERROR(__xludf.DUMMYFUNCTION("IMPORTRANGE(""https://docs.google.com/spreadsheets/d/1MeEWN-I1oV_STSDYn1IFDPWt_1FKiwhDph83XaGc0o0/edit?usp=sharing"",""งบพรบ!BU72"")"),7500)</f>
        <v>7500</v>
      </c>
      <c r="M154" s="93">
        <f ca="1">IFERROR(__xludf.DUMMYFUNCTION("IMPORTRANGE(""https://docs.google.com/spreadsheets/d/1MeEWN-I1oV_STSDYn1IFDPWt_1FKiwhDph83XaGc0o0/edit?usp=sharing"",""งบพรบ!BZ72"")"),7500)</f>
        <v>7500</v>
      </c>
      <c r="N154" s="93">
        <f ca="1">IFERROR(__xludf.DUMMYFUNCTION("IMPORTRANGE(""https://docs.google.com/spreadsheets/d/1MeEWN-I1oV_STSDYn1IFDPWt_1FKiwhDph83XaGc0o0/edit?usp=sharing"",""งบพรบ!CB72"")"),7280)</f>
        <v>7280</v>
      </c>
      <c r="O154" s="93">
        <f t="shared" ca="1" si="78"/>
        <v>97.066666666666663</v>
      </c>
      <c r="P154" s="93">
        <f t="shared" ca="1" si="79"/>
        <v>97.066666666666663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IFERROR(__xludf.DUMMYFUNCTION("IMPORTRANGE(""https://docs.google.com/spreadsheets/d/1MeEWN-I1oV_STSDYn1IFDPWt_1FKiwhDph83XaGc0o0/edit?usp=sharing"",""งบพรบ!BX72"")"),0)</f>
        <v>0</v>
      </c>
      <c r="M157" s="93">
        <f ca="1">IFERROR(__xludf.DUMMYFUNCTION("IMPORTRANGE(""https://docs.google.com/spreadsheets/d/1MeEWN-I1oV_STSDYn1IFDPWt_1FKiwhDph83XaGc0o0/edit?usp=sharing"",""งบพรบ!CA72"")"),0)</f>
        <v>0</v>
      </c>
      <c r="N157" s="93">
        <f ca="1">IFERROR(__xludf.DUMMYFUNCTION("IMPORTRANGE(""https://docs.google.com/spreadsheets/d/1MeEWN-I1oV_STSDYn1IFDPWt_1FKiwhDph83XaGc0o0/edit?usp=sharing"",""งบพรบ!CC72"")"),0)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IFERROR(__xludf.DUMMYFUNCTION("IMPORTRANGE(""https://docs.google.com/spreadsheets/d/1QqKyyYR6Q21VydFLVH3TRQUabQu_ym0Zz7PgGX0-kHA/edit?usp=sharing"",""แผน!X72"")"),15)</f>
        <v>15</v>
      </c>
      <c r="J159" s="215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33050</v>
      </c>
      <c r="N165" s="155">
        <f t="shared" ca="1" si="84"/>
        <v>33050</v>
      </c>
      <c r="O165" s="155">
        <f t="shared" ref="O165:O173" ca="1" si="85">IF(L165&gt;0,N165*100/L165,0)</f>
        <v>143.32176929748482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33050</v>
      </c>
      <c r="N167" s="93">
        <f t="shared" ca="1" si="87"/>
        <v>33050</v>
      </c>
      <c r="O167" s="93">
        <f t="shared" ca="1" si="85"/>
        <v>143.32176929748482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33050</v>
      </c>
      <c r="N168" s="497">
        <f t="shared" ca="1" si="88"/>
        <v>33050</v>
      </c>
      <c r="O168" s="497">
        <f t="shared" ca="1" si="85"/>
        <v>143.32176929748482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IFERROR(__xludf.DUMMYFUNCTION("IMPORTRANGE(""https://docs.google.com/spreadsheets/d/1MeEWN-I1oV_STSDYn1IFDPWt_1FKiwhDph83XaGc0o0/edit?usp=sharing"",""งบพรบ!CE72"")"),23060)</f>
        <v>23060</v>
      </c>
      <c r="M170" s="93">
        <f ca="1">IFERROR(__xludf.DUMMYFUNCTION("IMPORTRANGE(""https://docs.google.com/spreadsheets/d/1MeEWN-I1oV_STSDYn1IFDPWt_1FKiwhDph83XaGc0o0/edit?usp=sharing"",""งบพรบ!CJ72"")"),33050)</f>
        <v>33050</v>
      </c>
      <c r="N170" s="93">
        <f ca="1">IFERROR(__xludf.DUMMYFUNCTION("IMPORTRANGE(""https://docs.google.com/spreadsheets/d/1MeEWN-I1oV_STSDYn1IFDPWt_1FKiwhDph83XaGc0o0/edit?usp=sharing"",""งบพรบ!CL72"")"),33050)</f>
        <v>33050</v>
      </c>
      <c r="O170" s="93">
        <f t="shared" ca="1" si="85"/>
        <v>143.32176929748482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IFERROR(__xludf.DUMMYFUNCTION("IMPORTRANGE(""https://docs.google.com/spreadsheets/d/1MeEWN-I1oV_STSDYn1IFDPWt_1FKiwhDph83XaGc0o0/edit?usp=sharing"",""งบพรบ!CH72"")"),0)</f>
        <v>0</v>
      </c>
      <c r="M173" s="93">
        <f ca="1">IFERROR(__xludf.DUMMYFUNCTION("IMPORTRANGE(""https://docs.google.com/spreadsheets/d/1MeEWN-I1oV_STSDYn1IFDPWt_1FKiwhDph83XaGc0o0/edit?usp=sharing"",""งบพรบ!CK72"")"),0)</f>
        <v>0</v>
      </c>
      <c r="N173" s="93">
        <f ca="1">IFERROR(__xludf.DUMMYFUNCTION("IMPORTRANGE(""https://docs.google.com/spreadsheets/d/1MeEWN-I1oV_STSDYn1IFDPWt_1FKiwhDph83XaGc0o0/edit?usp=sharing"",""งบพรบ!CM72"")"),0)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27000</v>
      </c>
      <c r="M181" s="155">
        <f t="shared" ca="1" si="92"/>
        <v>27000</v>
      </c>
      <c r="N181" s="155">
        <f t="shared" ca="1" si="92"/>
        <v>17950</v>
      </c>
      <c r="O181" s="155">
        <f t="shared" ref="O181:O189" ca="1" si="93">IF(L181&gt;0,N181*100/L181,0)</f>
        <v>66.481481481481481</v>
      </c>
      <c r="P181" s="155">
        <f t="shared" ref="P181:P189" ca="1" si="94">IF(M181&gt;0,N181*100/M181,0)</f>
        <v>66.481481481481481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27000</v>
      </c>
      <c r="M183" s="93">
        <f t="shared" ca="1" si="95"/>
        <v>27000</v>
      </c>
      <c r="N183" s="93">
        <f t="shared" ca="1" si="95"/>
        <v>17950</v>
      </c>
      <c r="O183" s="93">
        <f t="shared" ca="1" si="93"/>
        <v>66.481481481481481</v>
      </c>
      <c r="P183" s="93">
        <f t="shared" ca="1" si="94"/>
        <v>66.481481481481481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27000</v>
      </c>
      <c r="M184" s="497">
        <f t="shared" ca="1" si="96"/>
        <v>27000</v>
      </c>
      <c r="N184" s="497">
        <f t="shared" ca="1" si="96"/>
        <v>17950</v>
      </c>
      <c r="O184" s="497">
        <f t="shared" ca="1" si="93"/>
        <v>66.481481481481481</v>
      </c>
      <c r="P184" s="497">
        <f t="shared" ca="1" si="94"/>
        <v>66.481481481481481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IFERROR(__xludf.DUMMYFUNCTION("IMPORTRANGE(""https://docs.google.com/spreadsheets/d/1MeEWN-I1oV_STSDYn1IFDPWt_1FKiwhDph83XaGc0o0/edit?usp=sharing"",""งบพรบ!CO72"")"),27000)</f>
        <v>27000</v>
      </c>
      <c r="M186" s="93">
        <f ca="1">IFERROR(__xludf.DUMMYFUNCTION("IMPORTRANGE(""https://docs.google.com/spreadsheets/d/1MeEWN-I1oV_STSDYn1IFDPWt_1FKiwhDph83XaGc0o0/edit?usp=sharing"",""งบพรบ!CT72"")"),27000)</f>
        <v>27000</v>
      </c>
      <c r="N186" s="93">
        <f ca="1">IFERROR(__xludf.DUMMYFUNCTION("IMPORTRANGE(""https://docs.google.com/spreadsheets/d/1MeEWN-I1oV_STSDYn1IFDPWt_1FKiwhDph83XaGc0o0/edit?usp=sharing"",""งบพรบ!CV72"")"),17950)</f>
        <v>17950</v>
      </c>
      <c r="O186" s="93">
        <f t="shared" ca="1" si="93"/>
        <v>66.481481481481481</v>
      </c>
      <c r="P186" s="93">
        <f t="shared" ca="1" si="94"/>
        <v>66.481481481481481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IFERROR(__xludf.DUMMYFUNCTION("IMPORTRANGE(""https://docs.google.com/spreadsheets/d/1MeEWN-I1oV_STSDYn1IFDPWt_1FKiwhDph83XaGc0o0/edit?usp=sharing"",""งบพรบ!CR72"")"),0)</f>
        <v>0</v>
      </c>
      <c r="M189" s="93">
        <f ca="1">IFERROR(__xludf.DUMMYFUNCTION("IMPORTRANGE(""https://docs.google.com/spreadsheets/d/1MeEWN-I1oV_STSDYn1IFDPWt_1FKiwhDph83XaGc0o0/edit?usp=sharing"",""งบพรบ!CU72"")"),0)</f>
        <v>0</v>
      </c>
      <c r="N189" s="93">
        <f ca="1">IFERROR(__xludf.DUMMYFUNCTION("IMPORTRANGE(""https://docs.google.com/spreadsheets/d/1MeEWN-I1oV_STSDYn1IFDPWt_1FKiwhDph83XaGc0o0/edit?usp=sharing"",""งบพรบ!CW72"")"),0)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IFERROR(__xludf.DUMMYFUNCTION("IMPORTRANGE(""https://docs.google.com/spreadsheets/d/1QqKyyYR6Q21VydFLVH3TRQUabQu_ym0Zz7PgGX0-kHA/edit?usp=sharing"",""แผน!Z72"")"),6000)</f>
        <v>6000</v>
      </c>
      <c r="M191" s="155"/>
      <c r="N191" s="276">
        <v>4550</v>
      </c>
      <c r="O191" s="155">
        <f ca="1">IF(L191&gt;0,N191*100/L191,0)</f>
        <v>75.833333333333329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131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90+41</f>
        <v>131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IFERROR(__xludf.DUMMYFUNCTION("IMPORTRANGE(""https://docs.google.com/spreadsheets/d/1QqKyyYR6Q21VydFLVH3TRQUabQu_ym0Zz7PgGX0-kHA/edit?usp=sharing"",""แผน!AE72"")"),1000)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IFERROR(__xludf.DUMMYFUNCTION("IMPORTRANGE(""https://docs.google.com/spreadsheets/d/1QqKyyYR6Q21VydFLVH3TRQUabQu_ym0Zz7PgGX0-kHA/edit?usp=sharing"",""แผน!AF72"")"),8000)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IFERROR(__xludf.DUMMYFUNCTION("IMPORTRANGE(""https://docs.google.com/spreadsheets/d/1QqKyyYR6Q21VydFLVH3TRQUabQu_ym0Zz7PgGX0-kHA/edit?usp=sharing"",""แผน!AG72"")"),4000)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IFERROR(__xludf.DUMMYFUNCTION("IMPORTRANGE(""https://docs.google.com/spreadsheets/d/1QqKyyYR6Q21VydFLVH3TRQUabQu_ym0Zz7PgGX0-kHA/edit?usp=sharing"",""แผน!AI72"")"),1)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400</v>
      </c>
      <c r="O217" s="155">
        <f ca="1">IF(L217&gt;0,N217*100/L217,0)</f>
        <v>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IFERROR(__xludf.DUMMYFUNCTION("IMPORTRANGE(""https://docs.google.com/spreadsheets/d/1QqKyyYR6Q21VydFLVH3TRQUabQu_ym0Zz7PgGX0-kHA/edit?usp=sharing"",""แผน!AQ72"")"),5000)</f>
        <v>5000</v>
      </c>
      <c r="M219" s="497"/>
      <c r="N219" s="284">
        <v>400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IFERROR(__xludf.DUMMYFUNCTION("IMPORTRANGE(""https://docs.google.com/spreadsheets/d/1QqKyyYR6Q21VydFLVH3TRQUabQu_ym0Zz7PgGX0-kHA/edit?usp=sharing"",""แผน!AT72"")"),20000)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IFERROR(__xludf.DUMMYFUNCTION("IMPORTRANGE(""https://docs.google.com/spreadsheets/d/1QqKyyYR6Q21VydFLVH3TRQUabQu_ym0Zz7PgGX0-kHA/edit?usp=sharing"",""แผน!AV72"")"),0)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IFERROR(__xludf.DUMMYFUNCTION("IMPORTRANGE(""https://docs.google.com/spreadsheets/d/1QqKyyYR6Q21VydFLVH3TRQUabQu_ym0Zz7PgGX0-kHA/edit?usp=sharing"",""แผน!AW72"")"),0)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IFERROR(__xludf.DUMMYFUNCTION("IMPORTRANGE(""https://docs.google.com/spreadsheets/d/1QqKyyYR6Q21VydFLVH3TRQUabQu_ym0Zz7PgGX0-kHA/edit?usp=sharing"",""แผน!AX72"")"),0)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IFERROR(__xludf.DUMMYFUNCTION("IMPORTRANGE(""https://docs.google.com/spreadsheets/d/1QqKyyYR6Q21VydFLVH3TRQUabQu_ym0Zz7PgGX0-kHA/edit?usp=sharing"",""แผน!AY72"")"),0)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IFERROR(__xludf.DUMMYFUNCTION("IMPORTRANGE(""https://docs.google.com/spreadsheets/d/1QqKyyYR6Q21VydFLVH3TRQUabQu_ym0Zz7PgGX0-kHA/edit?usp=sharing"",""แผน!AZ72"")"),0)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IFERROR(__xludf.DUMMYFUNCTION("IMPORTRANGE(""https://docs.google.com/spreadsheets/d/1QqKyyYR6Q21VydFLVH3TRQUabQu_ym0Zz7PgGX0-kHA/edit?usp=sharing"",""แผน!BA72"")"),0)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IFERROR(__xludf.DUMMYFUNCTION("IMPORTRANGE(""https://docs.google.com/spreadsheets/d/1QqKyyYR6Q21VydFLVH3TRQUabQu_ym0Zz7PgGX0-kHA/edit?usp=sharing"",""แผน!BB72"")"),0)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IFERROR(__xludf.DUMMYFUNCTION("IMPORTRANGE(""https://docs.google.com/spreadsheets/d/1QqKyyYR6Q21VydFLVH3TRQUabQu_ym0Zz7PgGX0-kHA/edit?usp=sharing"",""แผน!BC72"")"),0)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IFERROR(__xludf.DUMMYFUNCTION("IMPORTRANGE(""https://docs.google.com/spreadsheets/d/1MeEWN-I1oV_STSDYn1IFDPWt_1FKiwhDph83XaGc0o0/edit?usp=sharing"",""งบพรบ!CY72"")"),26900)</f>
        <v>26900</v>
      </c>
      <c r="M266" s="93">
        <f ca="1">IFERROR(__xludf.DUMMYFUNCTION("IMPORTRANGE(""https://docs.google.com/spreadsheets/d/1MeEWN-I1oV_STSDYn1IFDPWt_1FKiwhDph83XaGc0o0/edit?usp=sharing"",""งบพรบ!DD72"")"),26900)</f>
        <v>26900</v>
      </c>
      <c r="N266" s="93">
        <f ca="1">IFERROR(__xludf.DUMMYFUNCTION("IMPORTRANGE(""https://docs.google.com/spreadsheets/d/1MeEWN-I1oV_STSDYn1IFDPWt_1FKiwhDph83XaGc0o0/edit?usp=sharing"",""งบพรบ!DF72"")"),23900)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IFERROR(__xludf.DUMMYFUNCTION("IMPORTRANGE(""https://docs.google.com/spreadsheets/d/1MeEWN-I1oV_STSDYn1IFDPWt_1FKiwhDph83XaGc0o0/edit?usp=sharing"",""งบพรบ!DB72"")"),0)</f>
        <v>0</v>
      </c>
      <c r="M269" s="93">
        <f ca="1">IFERROR(__xludf.DUMMYFUNCTION("IMPORTRANGE(""https://docs.google.com/spreadsheets/d/1MeEWN-I1oV_STSDYn1IFDPWt_1FKiwhDph83XaGc0o0/edit?usp=sharing"",""งบพรบ!DE72"")"),0)</f>
        <v>0</v>
      </c>
      <c r="N269" s="93">
        <f ca="1">IFERROR(__xludf.DUMMYFUNCTION("IMPORTRANGE(""https://docs.google.com/spreadsheets/d/1MeEWN-I1oV_STSDYn1IFDPWt_1FKiwhDph83XaGc0o0/edit?usp=sharing"",""งบพรบ!DG72"")"),0)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IFERROR(__xludf.DUMMYFUNCTION("IMPORTRANGE(""https://docs.google.com/spreadsheets/d/1QqKyyYR6Q21VydFLVH3TRQUabQu_ym0Zz7PgGX0-kHA/edit?usp=sharing"",""แผน!EA72"")"),22)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4">I287</f>
        <v>100</v>
      </c>
      <c r="J276" s="874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18590</v>
      </c>
      <c r="O277" s="155">
        <f t="shared" ref="O277:O285" ca="1" si="126">IF(L277&gt;0,N277*100/L277,0)</f>
        <v>45.33040721775177</v>
      </c>
      <c r="P277" s="155">
        <f t="shared" ref="P277:P285" ca="1" si="127">IF(M277&gt;0,N277*100/M277,0)</f>
        <v>45.33040721775177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18590</v>
      </c>
      <c r="O279" s="93">
        <f t="shared" ca="1" si="126"/>
        <v>45.33040721775177</v>
      </c>
      <c r="P279" s="93">
        <f t="shared" ca="1" si="127"/>
        <v>45.33040721775177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18590</v>
      </c>
      <c r="O280" s="497">
        <f t="shared" ca="1" si="126"/>
        <v>45.33040721775177</v>
      </c>
      <c r="P280" s="497">
        <f t="shared" ca="1" si="127"/>
        <v>45.33040721775177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IFERROR(__xludf.DUMMYFUNCTION("IMPORTRANGE(""https://docs.google.com/spreadsheets/d/1MeEWN-I1oV_STSDYn1IFDPWt_1FKiwhDph83XaGc0o0/edit?usp=sharing"",""งบพรบ!DI72"")"),41010)</f>
        <v>41010</v>
      </c>
      <c r="M282" s="93">
        <f ca="1">IFERROR(__xludf.DUMMYFUNCTION("IMPORTRANGE(""https://docs.google.com/spreadsheets/d/1MeEWN-I1oV_STSDYn1IFDPWt_1FKiwhDph83XaGc0o0/edit?usp=sharing"",""งบพรบ!DN72"")"),41010)</f>
        <v>41010</v>
      </c>
      <c r="N282" s="93">
        <f ca="1">IFERROR(__xludf.DUMMYFUNCTION("IMPORTRANGE(""https://docs.google.com/spreadsheets/d/1MeEWN-I1oV_STSDYn1IFDPWt_1FKiwhDph83XaGc0o0/edit?usp=sharing"",""งบพรบ!DP72"")"),18590)</f>
        <v>18590</v>
      </c>
      <c r="O282" s="93">
        <f t="shared" ca="1" si="126"/>
        <v>45.33040721775177</v>
      </c>
      <c r="P282" s="93">
        <f t="shared" ca="1" si="127"/>
        <v>45.33040721775177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IFERROR(__xludf.DUMMYFUNCTION("IMPORTRANGE(""https://docs.google.com/spreadsheets/d/1MeEWN-I1oV_STSDYn1IFDPWt_1FKiwhDph83XaGc0o0/edit?usp=sharing"",""งบพรบ!DL72"")"),0)</f>
        <v>0</v>
      </c>
      <c r="M285" s="93">
        <f ca="1">IFERROR(__xludf.DUMMYFUNCTION("IMPORTRANGE(""https://docs.google.com/spreadsheets/d/1MeEWN-I1oV_STSDYn1IFDPWt_1FKiwhDph83XaGc0o0/edit?usp=sharing"",""งบพรบ!DO72"")"),0)</f>
        <v>0</v>
      </c>
      <c r="N285" s="93">
        <f ca="1">IFERROR(__xludf.DUMMYFUNCTION("IMPORTRANGE(""https://docs.google.com/spreadsheets/d/1MeEWN-I1oV_STSDYn1IFDPWt_1FKiwhDph83XaGc0o0/edit?usp=sharing"",""งบพรบ!DQ72"")"),0)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IFERROR(__xludf.DUMMYFUNCTION("IMPORTRANGE(""https://docs.google.com/spreadsheets/d/1QqKyyYR6Q21VydFLVH3TRQUabQu_ym0Zz7PgGX0-kHA/edit?usp=sharing"",""แผน!EB72"")"),10)</f>
        <v>10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IFERROR(__xludf.DUMMYFUNCTION("IMPORTRANGE(""https://docs.google.com/spreadsheets/d/1QqKyyYR6Q21VydFLVH3TRQUabQu_ym0Zz7PgGX0-kHA/edit?usp=sharing"",""แผน!EB72"")"),10)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IFERROR(__xludf.DUMMYFUNCTION("IMPORTRANGE(""https://docs.google.com/spreadsheets/d/1QqKyyYR6Q21VydFLVH3TRQUabQu_ym0Zz7PgGX0-kHA/edit?usp=sharing"",""แผน!EB72"")"),10)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IFERROR(__xludf.DUMMYFUNCTION("IMPORTRANGE(""https://docs.google.com/spreadsheets/d/1QqKyyYR6Q21VydFLVH3TRQUabQu_ym0Zz7PgGX0-kHA/edit?usp=sharing"",""แผน!EB72"")"),10)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IFERROR(__xludf.DUMMYFUNCTION("IMPORTRANGE(""https://docs.google.com/spreadsheets/d/1QqKyyYR6Q21VydFLVH3TRQUabQu_ym0Zz7PgGX0-kHA/edit?usp=sharing"",""แผน!EB72"")"),10)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63800</v>
      </c>
      <c r="N298" s="155">
        <f t="shared" ca="1" si="135"/>
        <v>47258</v>
      </c>
      <c r="O298" s="155">
        <f t="shared" ref="O298:O306" ca="1" si="136">IF(L298&gt;0,N298*100/L298,0)</f>
        <v>74.072100313479623</v>
      </c>
      <c r="P298" s="155">
        <f t="shared" ref="P298:P306" ca="1" si="137">IF(M298&gt;0,N298*100/M298,0)</f>
        <v>74.072100313479623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63800</v>
      </c>
      <c r="M300" s="93">
        <f t="shared" ca="1" si="138"/>
        <v>63800</v>
      </c>
      <c r="N300" s="93">
        <f t="shared" ca="1" si="138"/>
        <v>47258</v>
      </c>
      <c r="O300" s="93">
        <f t="shared" ca="1" si="136"/>
        <v>74.072100313479623</v>
      </c>
      <c r="P300" s="93">
        <f t="shared" ca="1" si="137"/>
        <v>74.072100313479623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63800</v>
      </c>
      <c r="N301" s="497">
        <f t="shared" ca="1" si="139"/>
        <v>47258</v>
      </c>
      <c r="O301" s="497">
        <f t="shared" ca="1" si="136"/>
        <v>74.072100313479623</v>
      </c>
      <c r="P301" s="497">
        <f t="shared" ca="1" si="137"/>
        <v>74.072100313479623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IFERROR(__xludf.DUMMYFUNCTION("IMPORTRANGE(""https://docs.google.com/spreadsheets/d/1MeEWN-I1oV_STSDYn1IFDPWt_1FKiwhDph83XaGc0o0/edit?usp=sharing"",""งบพรบ!DS72"")"),63800)</f>
        <v>63800</v>
      </c>
      <c r="M303" s="93">
        <f ca="1">IFERROR(__xludf.DUMMYFUNCTION("IMPORTRANGE(""https://docs.google.com/spreadsheets/d/1MeEWN-I1oV_STSDYn1IFDPWt_1FKiwhDph83XaGc0o0/edit?usp=sharing"",""งบพรบ!DX72"")"),63800)</f>
        <v>63800</v>
      </c>
      <c r="N303" s="93">
        <f ca="1">IFERROR(__xludf.DUMMYFUNCTION("IMPORTRANGE(""https://docs.google.com/spreadsheets/d/1MeEWN-I1oV_STSDYn1IFDPWt_1FKiwhDph83XaGc0o0/edit?usp=sharing"",""งบพรบ!DZ72"")"),47258)</f>
        <v>47258</v>
      </c>
      <c r="O303" s="93">
        <f t="shared" ca="1" si="136"/>
        <v>74.072100313479623</v>
      </c>
      <c r="P303" s="93">
        <f t="shared" ca="1" si="137"/>
        <v>74.072100313479623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IFERROR(__xludf.DUMMYFUNCTION("IMPORTRANGE(""https://docs.google.com/spreadsheets/d/1MeEWN-I1oV_STSDYn1IFDPWt_1FKiwhDph83XaGc0o0/edit?usp=sharing"",""งบพรบ!DV72"")"),0)</f>
        <v>0</v>
      </c>
      <c r="M306" s="93">
        <f ca="1">IFERROR(__xludf.DUMMYFUNCTION("IMPORTRANGE(""https://docs.google.com/spreadsheets/d/1MeEWN-I1oV_STSDYn1IFDPWt_1FKiwhDph83XaGc0o0/edit?usp=sharing"",""งบพรบ!DY72"")"),0)</f>
        <v>0</v>
      </c>
      <c r="N306" s="93">
        <f ca="1">IFERROR(__xludf.DUMMYFUNCTION("IMPORTRANGE(""https://docs.google.com/spreadsheets/d/1MeEWN-I1oV_STSDYn1IFDPWt_1FKiwhDph83XaGc0o0/edit?usp=sharing"",""งบพรบ!EA72"")"),0)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IFERROR(__xludf.DUMMYFUNCTION("IMPORTRANGE(""https://docs.google.com/spreadsheets/d/1QqKyyYR6Q21VydFLVH3TRQUabQu_ym0Zz7PgGX0-kHA/edit?usp=sharing"",""แผน!ED72"")"),15)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IFERROR(__xludf.DUMMYFUNCTION("IMPORTRANGE(""https://docs.google.com/spreadsheets/d/1QqKyyYR6Q21VydFLVH3TRQUabQu_ym0Zz7PgGX0-kHA/edit?usp=sharing"",""แผน!ED72"")"),15)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IFERROR(__xludf.DUMMYFUNCTION("IMPORTRANGE(""https://docs.google.com/spreadsheets/d/1QqKyyYR6Q21VydFLVH3TRQUabQu_ym0Zz7PgGX0-kHA/edit?usp=sharing"",""แผน!ED72"")"),15)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IFERROR(__xludf.DUMMYFUNCTION("IMPORTRANGE(""https://docs.google.com/spreadsheets/d/1QqKyyYR6Q21VydFLVH3TRQUabQu_ym0Zz7PgGX0-kHA/edit?usp=sharing"",""แผน!EE72"")"),3)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IFERROR(__xludf.DUMMYFUNCTION("IMPORTRANGE(""https://docs.google.com/spreadsheets/d/1MeEWN-I1oV_STSDYn1IFDPWt_1FKiwhDph83XaGc0o0/edit?usp=sharing"",""งบพรบ!EC72"")"),0)</f>
        <v>0</v>
      </c>
      <c r="M320" s="93">
        <f ca="1">IFERROR(__xludf.DUMMYFUNCTION("IMPORTRANGE(""https://docs.google.com/spreadsheets/d/1MeEWN-I1oV_STSDYn1IFDPWt_1FKiwhDph83XaGc0o0/edit?usp=sharing"",""งบพรบ!EH72"")"),0)</f>
        <v>0</v>
      </c>
      <c r="N320" s="93">
        <f ca="1">IFERROR(__xludf.DUMMYFUNCTION("IMPORTRANGE(""https://docs.google.com/spreadsheets/d/1MeEWN-I1oV_STSDYn1IFDPWt_1FKiwhDph83XaGc0o0/edit?usp=sharing"",""งบพรบ!EJ72"")"),0)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IFERROR(__xludf.DUMMYFUNCTION("IMPORTRANGE(""https://docs.google.com/spreadsheets/d/1MeEWN-I1oV_STSDYn1IFDPWt_1FKiwhDph83XaGc0o0/edit?usp=sharing"",""งบพรบ!EF72"")"),0)</f>
        <v>0</v>
      </c>
      <c r="M323" s="93">
        <f ca="1">IFERROR(__xludf.DUMMYFUNCTION("IMPORTRANGE(""https://docs.google.com/spreadsheets/d/1MeEWN-I1oV_STSDYn1IFDPWt_1FKiwhDph83XaGc0o0/edit?usp=sharing"",""งบพรบ!EI72"")"),0)</f>
        <v>0</v>
      </c>
      <c r="N323" s="93">
        <f ca="1">IFERROR(__xludf.DUMMYFUNCTION("IMPORTRANGE(""https://docs.google.com/spreadsheets/d/1MeEWN-I1oV_STSDYn1IFDPWt_1FKiwhDph83XaGc0o0/edit?usp=sharing"",""งบพรบ!EK72"")"),0)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IFERROR(__xludf.DUMMYFUNCTION("IMPORTRANGE(""https://docs.google.com/spreadsheets/d/1QqKyyYR6Q21VydFLVH3TRQUabQu_ym0Zz7PgGX0-kHA/edit?usp=sharing"",""แผน!EG72"")"),2300)</f>
        <v>2300</v>
      </c>
      <c r="J327" s="444">
        <f ca="1">J338+J341+J342+J343</f>
        <v>2828</v>
      </c>
      <c r="K327" s="445">
        <f ca="1">IF(I327&gt;0,J327*100/I327,0)</f>
        <v>122.95652173913044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168500</v>
      </c>
      <c r="N328" s="155">
        <f t="shared" ca="1" si="149"/>
        <v>131723.47</v>
      </c>
      <c r="O328" s="155">
        <f t="shared" ref="O328:O336" ca="1" si="150">IF(L328&gt;0,N328*100/L328,0)</f>
        <v>79.351487951807229</v>
      </c>
      <c r="P328" s="155">
        <f t="shared" ref="P328:P336" ca="1" si="151">IF(M328&gt;0,N328*100/M328,0)</f>
        <v>78.174166172106823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166000</v>
      </c>
      <c r="M330" s="93">
        <f t="shared" ca="1" si="152"/>
        <v>168500</v>
      </c>
      <c r="N330" s="93">
        <f t="shared" ca="1" si="152"/>
        <v>131723.47</v>
      </c>
      <c r="O330" s="93">
        <f t="shared" ca="1" si="150"/>
        <v>79.351487951807229</v>
      </c>
      <c r="P330" s="93">
        <f t="shared" ca="1" si="151"/>
        <v>78.174166172106823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168500</v>
      </c>
      <c r="N331" s="497">
        <f t="shared" ca="1" si="153"/>
        <v>131723.47</v>
      </c>
      <c r="O331" s="497">
        <f t="shared" ca="1" si="150"/>
        <v>79.351487951807229</v>
      </c>
      <c r="P331" s="497">
        <f t="shared" ca="1" si="151"/>
        <v>78.174166172106823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IFERROR(__xludf.DUMMYFUNCTION("IMPORTRANGE(""https://docs.google.com/spreadsheets/d/1MeEWN-I1oV_STSDYn1IFDPWt_1FKiwhDph83XaGc0o0/edit?usp=sharing"",""งบพรบ!EM72"")"),166000)</f>
        <v>166000</v>
      </c>
      <c r="M333" s="93">
        <f ca="1">IFERROR(__xludf.DUMMYFUNCTION("IMPORTRANGE(""https://docs.google.com/spreadsheets/d/1MeEWN-I1oV_STSDYn1IFDPWt_1FKiwhDph83XaGc0o0/edit?usp=sharing"",""งบพรบ!ER72"")"),168500)</f>
        <v>168500</v>
      </c>
      <c r="N333" s="93">
        <f ca="1">IFERROR(__xludf.DUMMYFUNCTION("IMPORTRANGE(""https://docs.google.com/spreadsheets/d/1MeEWN-I1oV_STSDYn1IFDPWt_1FKiwhDph83XaGc0o0/edit?usp=sharing"",""งบพรบ!ET72"")"),131723.47)</f>
        <v>131723.47</v>
      </c>
      <c r="O333" s="93">
        <f t="shared" ca="1" si="150"/>
        <v>79.351487951807229</v>
      </c>
      <c r="P333" s="93">
        <f t="shared" ca="1" si="151"/>
        <v>78.174166172106823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IFERROR(__xludf.DUMMYFUNCTION("IMPORTRANGE(""https://docs.google.com/spreadsheets/d/1MeEWN-I1oV_STSDYn1IFDPWt_1FKiwhDph83XaGc0o0/edit?usp=sharing"",""งบพรบ!EP72"")"),0)</f>
        <v>0</v>
      </c>
      <c r="M336" s="93">
        <f ca="1">IFERROR(__xludf.DUMMYFUNCTION("IMPORTRANGE(""https://docs.google.com/spreadsheets/d/1MeEWN-I1oV_STSDYn1IFDPWt_1FKiwhDph83XaGc0o0/edit?usp=sharing"",""งบพรบ!ES72"")"),0)</f>
        <v>0</v>
      </c>
      <c r="N336" s="93">
        <f ca="1">IFERROR(__xludf.DUMMYFUNCTION("IMPORTRANGE(""https://docs.google.com/spreadsheets/d/1MeEWN-I1oV_STSDYn1IFDPWt_1FKiwhDph83XaGc0o0/edit?usp=sharing"",""งบพรบ!EU72"")"),0)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IFERROR(__xludf.DUMMYFUNCTION("IMPORTRANGE(""https://docs.google.com/spreadsheets/d/1QqKyyYR6Q21VydFLVH3TRQUabQu_ym0Zz7PgGX0-kHA/edit?usp=sharing"",""แผน!EG72"")"),2300)</f>
        <v>2300</v>
      </c>
      <c r="J338" s="270">
        <f ca="1">IFERROR(__xludf.DUMMYFUNCTION("IMPORTRANGE(""https://docs.google.com/spreadsheets/d/1kVcqe37tkHyjCSG3S0O1AXqVkqjo8mSIZil3BcpIysc/edit?usp=sharing"",""ศูนย์!D72"")"),2633)</f>
        <v>2633</v>
      </c>
      <c r="K338" s="497">
        <f ca="1">IF(I338&gt;0,J338*100/I338,0)</f>
        <v>114.47826086956522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IFERROR(__xludf.DUMMYFUNCTION("IMPORTRANGE(""https://docs.google.com/spreadsheets/d/1QqKyyYR6Q21VydFLVH3TRQUabQu_ym0Zz7PgGX0-kHA/edit?usp=sharing"",""แผน!EH72"")"),4)</f>
        <v>4</v>
      </c>
      <c r="J340" s="270">
        <f ca="1">IFERROR(__xludf.DUMMYFUNCTION("IMPORTRANGE(""https://docs.google.com/spreadsheets/d/1kVcqe37tkHyjCSG3S0O1AXqVkqjo8mSIZil3BcpIysc/edit?usp=sharing"",""ศูนย์!E72"")"),2)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IFERROR(__xludf.DUMMYFUNCTION("IMPORTRANGE(""https://docs.google.com/spreadsheets/d/1kVcqe37tkHyjCSG3S0O1AXqVkqjo8mSIZil3BcpIysc/edit?usp=sharing"",""ศูนย์!F72"")"),194)</f>
        <v>194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IFERROR(__xludf.DUMMYFUNCTION("IMPORTRANGE(""https://docs.google.com/spreadsheets/d/1kVcqe37tkHyjCSG3S0O1AXqVkqjo8mSIZil3BcpIysc/edit?usp=sharing"",""ศูนย์!G72"")"),1)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1143490</v>
      </c>
      <c r="M345" s="155">
        <f t="shared" ca="1" si="155"/>
        <v>1216000</v>
      </c>
      <c r="N345" s="155">
        <f t="shared" ca="1" si="155"/>
        <v>938712.95</v>
      </c>
      <c r="O345" s="155">
        <f t="shared" ref="O345:O353" ca="1" si="156">IF(L345&gt;0,N345*100/L345,0)</f>
        <v>82.091924721685373</v>
      </c>
      <c r="P345" s="155">
        <f t="shared" ref="P345:P353" ca="1" si="157">IF(M345&gt;0,N345*100/M345,0)</f>
        <v>77.196788651315785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1143490</v>
      </c>
      <c r="M347" s="93">
        <f t="shared" ca="1" si="158"/>
        <v>1216000</v>
      </c>
      <c r="N347" s="93">
        <f t="shared" ca="1" si="158"/>
        <v>938712.95</v>
      </c>
      <c r="O347" s="93">
        <f t="shared" ca="1" si="156"/>
        <v>82.091924721685373</v>
      </c>
      <c r="P347" s="93">
        <f t="shared" ca="1" si="157"/>
        <v>77.196788651315785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999890</v>
      </c>
      <c r="M348" s="497">
        <f t="shared" ca="1" si="159"/>
        <v>1072400</v>
      </c>
      <c r="N348" s="497">
        <f t="shared" ca="1" si="159"/>
        <v>795112.95</v>
      </c>
      <c r="O348" s="497">
        <f t="shared" ca="1" si="156"/>
        <v>79.520042204642507</v>
      </c>
      <c r="P348" s="497">
        <f t="shared" ca="1" si="157"/>
        <v>74.14331872435659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IFERROR(__xludf.DUMMYFUNCTION("IMPORTRANGE(""https://docs.google.com/spreadsheets/d/1MeEWN-I1oV_STSDYn1IFDPWt_1FKiwhDph83XaGc0o0/edit?usp=sharing"",""งบพรบ!EW72"")"),999890)</f>
        <v>999890</v>
      </c>
      <c r="M350" s="93">
        <f ca="1">IFERROR(__xludf.DUMMYFUNCTION("IMPORTRANGE(""https://docs.google.com/spreadsheets/d/1MeEWN-I1oV_STSDYn1IFDPWt_1FKiwhDph83XaGc0o0/edit?usp=sharing"",""งบพรบ!FB72"")"),1072400)</f>
        <v>1072400</v>
      </c>
      <c r="N350" s="93">
        <f ca="1">IFERROR(__xludf.DUMMYFUNCTION("IMPORTRANGE(""https://docs.google.com/spreadsheets/d/1MeEWN-I1oV_STSDYn1IFDPWt_1FKiwhDph83XaGc0o0/edit?usp=sharing"",""งบพรบ!FD72"")"),795112.95)</f>
        <v>795112.95</v>
      </c>
      <c r="O350" s="93">
        <f t="shared" ca="1" si="156"/>
        <v>79.520042204642507</v>
      </c>
      <c r="P350" s="93">
        <f t="shared" ca="1" si="157"/>
        <v>74.14331872435659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143600</v>
      </c>
      <c r="M351" s="497">
        <f t="shared" ca="1" si="160"/>
        <v>143600</v>
      </c>
      <c r="N351" s="497">
        <f t="shared" ca="1" si="160"/>
        <v>143600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IFERROR(__xludf.DUMMYFUNCTION("IMPORTRANGE(""https://docs.google.com/spreadsheets/d/1MeEWN-I1oV_STSDYn1IFDPWt_1FKiwhDph83XaGc0o0/edit?usp=sharing"",""งบพรบ!EZ72"")"),143600)</f>
        <v>143600</v>
      </c>
      <c r="M353" s="93">
        <f ca="1">IFERROR(__xludf.DUMMYFUNCTION("IMPORTRANGE(""https://docs.google.com/spreadsheets/d/1MeEWN-I1oV_STSDYn1IFDPWt_1FKiwhDph83XaGc0o0/edit?usp=sharing"",""งบพรบ!FC72"")"),143600)</f>
        <v>143600</v>
      </c>
      <c r="N353" s="93">
        <f ca="1">IFERROR(__xludf.DUMMYFUNCTION("IMPORTRANGE(""https://docs.google.com/spreadsheets/d/1MeEWN-I1oV_STSDYn1IFDPWt_1FKiwhDph83XaGc0o0/edit?usp=sharing"",""งบพรบ!FE72"")"),143600)</f>
        <v>143600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IFERROR(__xludf.DUMMYFUNCTION("IMPORTRANGE(""https://docs.google.com/spreadsheets/d/1QqKyyYR6Q21VydFLVH3TRQUabQu_ym0Zz7PgGX0-kHA/edit?usp=sharing"",""แผน!EP72"")"),220)</f>
        <v>220</v>
      </c>
      <c r="J355" s="464">
        <f ca="1">J362</f>
        <v>168</v>
      </c>
      <c r="K355" s="465">
        <f ca="1">IF(I355&gt;0,J355*100/I355,0)</f>
        <v>76.36363636363636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IFERROR(__xludf.DUMMYFUNCTION("IMPORTRANGE(""https://docs.google.com/spreadsheets/d/1XWAQStnk-4SwqDmLtmXYiTMKHgktTP8We1SCoS47DrQ/edit?usp=sharing"",""จัดที่ดิน!W72"")"),376)</f>
        <v>376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IFERROR(__xludf.DUMMYFUNCTION("IMPORTRANGE(""https://docs.google.com/spreadsheets/d/1QqKyyYR6Q21VydFLVH3TRQUabQu_ym0Zz7PgGX0-kHA/edit?usp=sharing"",""แผน!EO72"")"),2100)</f>
        <v>2100</v>
      </c>
      <c r="J359" s="270">
        <f ca="1">IFERROR(__xludf.DUMMYFUNCTION("IMPORTRANGE(""https://docs.google.com/spreadsheets/d/1XWAQStnk-4SwqDmLtmXYiTMKHgktTP8We1SCoS47DrQ/edit?usp=sharing"",""จัดที่ดิน!X72"")"),2387.75)</f>
        <v>2387.75</v>
      </c>
      <c r="K359" s="497">
        <f t="shared" ca="1" si="161"/>
        <v>113.70238095238095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IFERROR(__xludf.DUMMYFUNCTION("IMPORTRANGE(""https://docs.google.com/spreadsheets/d/1QqKyyYR6Q21VydFLVH3TRQUabQu_ym0Zz7PgGX0-kHA/edit?usp=sharing"",""แผน!EP72"")"),220)</f>
        <v>220</v>
      </c>
      <c r="J360" s="270">
        <f ca="1">IFERROR(__xludf.DUMMYFUNCTION("IMPORTRANGE(""https://docs.google.com/spreadsheets/d/1XWAQStnk-4SwqDmLtmXYiTMKHgktTP8We1SCoS47DrQ/edit?usp=sharing"",""จัดที่ดิน!Y72"")"),168)</f>
        <v>168</v>
      </c>
      <c r="K360" s="497">
        <f t="shared" ca="1" si="161"/>
        <v>76.36363636363636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IFERROR(__xludf.DUMMYFUNCTION("IMPORTRANGE(""https://docs.google.com/spreadsheets/d/1XWAQStnk-4SwqDmLtmXYiTMKHgktTP8We1SCoS47DrQ/edit?usp=sharing"",""จัดที่ดิน!Z72"")"),1138.96)</f>
        <v>1138.96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IFERROR(__xludf.DUMMYFUNCTION("IMPORTRANGE(""https://docs.google.com/spreadsheets/d/1QqKyyYR6Q21VydFLVH3TRQUabQu_ym0Zz7PgGX0-kHA/edit?usp=sharing"",""แผน!EP72"")"),220)</f>
        <v>220</v>
      </c>
      <c r="J362" s="270">
        <f ca="1">IFERROR(__xludf.DUMMYFUNCTION("IMPORTRANGE(""https://docs.google.com/spreadsheets/d/1XWAQStnk-4SwqDmLtmXYiTMKHgktTP8We1SCoS47DrQ/edit?usp=sharing"",""จัดที่ดิน!AA72"")"),168)</f>
        <v>168</v>
      </c>
      <c r="K362" s="497">
        <f t="shared" ca="1" si="161"/>
        <v>76.36363636363636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IFERROR(__xludf.DUMMYFUNCTION("IMPORTRANGE(""https://docs.google.com/spreadsheets/d/1XWAQStnk-4SwqDmLtmXYiTMKHgktTP8We1SCoS47DrQ/edit?usp=sharing"",""จัดที่ดิน!AB72"")"),1138.96)</f>
        <v>1138.96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360</v>
      </c>
      <c r="J364" s="478">
        <f t="shared" ca="1" si="162"/>
        <v>332</v>
      </c>
      <c r="K364" s="479">
        <f t="shared" ca="1" si="161"/>
        <v>92.222222222222229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IFERROR(__xludf.DUMMYFUNCTION("IMPORTRANGE(""https://docs.google.com/spreadsheets/d/1QqKyyYR6Q21VydFLVH3TRQUabQu_ym0Zz7PgGX0-kHA/edit?usp=sharing"",""แผน!EJ72"")"),40)</f>
        <v>40</v>
      </c>
      <c r="J365" s="490">
        <f ca="1">J372</f>
        <v>59</v>
      </c>
      <c r="K365" s="491">
        <f t="shared" ca="1" si="161"/>
        <v>147.5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IFERROR(__xludf.DUMMYFUNCTION("IMPORTRANGE(""https://docs.google.com/spreadsheets/d/1XWAQStnk-4SwqDmLtmXYiTMKHgktTP8We1SCoS47DrQ/edit?usp=sharing"",""จัดที่ดิน!E72"")"),88)</f>
        <v>88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IFERROR(__xludf.DUMMYFUNCTION("IMPORTRANGE(""https://docs.google.com/spreadsheets/d/1QqKyyYR6Q21VydFLVH3TRQUabQu_ym0Zz7PgGX0-kHA/edit?usp=sharing"",""แผน!EI72"")"),300)</f>
        <v>300</v>
      </c>
      <c r="J369" s="270">
        <f ca="1">IFERROR(__xludf.DUMMYFUNCTION("IMPORTRANGE(""https://docs.google.com/spreadsheets/d/1XWAQStnk-4SwqDmLtmXYiTMKHgktTP8We1SCoS47DrQ/edit?usp=sharing"",""จัดที่ดิน!F72"")"),454.94)</f>
        <v>454.94</v>
      </c>
      <c r="K369" s="497">
        <f t="shared" ca="1" si="163"/>
        <v>151.64666666666668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IFERROR(__xludf.DUMMYFUNCTION("IMPORTRANGE(""https://docs.google.com/spreadsheets/d/1QqKyyYR6Q21VydFLVH3TRQUabQu_ym0Zz7PgGX0-kHA/edit?usp=sharing"",""แผน!EJ72"")"),40)</f>
        <v>40</v>
      </c>
      <c r="J370" s="270">
        <f ca="1">IFERROR(__xludf.DUMMYFUNCTION("IMPORTRANGE(""https://docs.google.com/spreadsheets/d/1XWAQStnk-4SwqDmLtmXYiTMKHgktTP8We1SCoS47DrQ/edit?usp=sharing"",""จัดที่ดิน!G72"")"),59)</f>
        <v>59</v>
      </c>
      <c r="K370" s="497">
        <f t="shared" ca="1" si="163"/>
        <v>147.5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IFERROR(__xludf.DUMMYFUNCTION("IMPORTRANGE(""https://docs.google.com/spreadsheets/d/1XWAQStnk-4SwqDmLtmXYiTMKHgktTP8We1SCoS47DrQ/edit?usp=sharing"",""จัดที่ดิน!H72"")"),327.79)</f>
        <v>327.79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IFERROR(__xludf.DUMMYFUNCTION("IMPORTRANGE(""https://docs.google.com/spreadsheets/d/1QqKyyYR6Q21VydFLVH3TRQUabQu_ym0Zz7PgGX0-kHA/edit?usp=sharing"",""แผน!EJ72"")"),40)</f>
        <v>40</v>
      </c>
      <c r="J372" s="270">
        <f ca="1">IFERROR(__xludf.DUMMYFUNCTION("IMPORTRANGE(""https://docs.google.com/spreadsheets/d/1XWAQStnk-4SwqDmLtmXYiTMKHgktTP8We1SCoS47DrQ/edit?usp=sharing"",""จัดที่ดิน!I72"")"),59)</f>
        <v>59</v>
      </c>
      <c r="K372" s="497">
        <f t="shared" ca="1" si="163"/>
        <v>147.5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IFERROR(__xludf.DUMMYFUNCTION("IMPORTRANGE(""https://docs.google.com/spreadsheets/d/1XWAQStnk-4SwqDmLtmXYiTMKHgktTP8We1SCoS47DrQ/edit?usp=sharing"",""จัดที่ดิน!J72"")"),327.79)</f>
        <v>327.79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IFERROR(__xludf.DUMMYFUNCTION("IMPORTRANGE(""https://docs.google.com/spreadsheets/d/1QqKyyYR6Q21VydFLVH3TRQUabQu_ym0Zz7PgGX0-kHA/edit?usp=sharing"",""แผน!EU72"")"),320)</f>
        <v>320</v>
      </c>
      <c r="J374" s="490">
        <f ca="1">J381</f>
        <v>273</v>
      </c>
      <c r="K374" s="491">
        <f t="shared" ca="1" si="163"/>
        <v>85.3125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IFERROR(__xludf.DUMMYFUNCTION("IMPORTRANGE(""https://docs.google.com/spreadsheets/d/1XWAQStnk-4SwqDmLtmXYiTMKHgktTP8We1SCoS47DrQ/edit?usp=sharing"",""จัดที่ดิน!AH72"")"),288)</f>
        <v>288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IFERROR(__xludf.DUMMYFUNCTION("IMPORTRANGE(""https://docs.google.com/spreadsheets/d/1QqKyyYR6Q21VydFLVH3TRQUabQu_ym0Zz7PgGX0-kHA/edit?usp=sharing"",""แผน!ET72"")"),1800)</f>
        <v>1800</v>
      </c>
      <c r="J378" s="270">
        <f ca="1">IFERROR(__xludf.DUMMYFUNCTION("IMPORTRANGE(""https://docs.google.com/spreadsheets/d/1XWAQStnk-4SwqDmLtmXYiTMKHgktTP8We1SCoS47DrQ/edit?usp=sharing"",""จัดที่ดิน!AI72"")"),1932.81)</f>
        <v>1932.81</v>
      </c>
      <c r="K378" s="497">
        <f t="shared" ca="1" si="164"/>
        <v>107.37833333333333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IFERROR(__xludf.DUMMYFUNCTION("IMPORTRANGE(""https://docs.google.com/spreadsheets/d/1QqKyyYR6Q21VydFLVH3TRQUabQu_ym0Zz7PgGX0-kHA/edit?usp=sharing"",""แผน!EU72"")"),320)</f>
        <v>320</v>
      </c>
      <c r="J379" s="270">
        <f ca="1">IFERROR(__xludf.DUMMYFUNCTION("IMPORTRANGE(""https://docs.google.com/spreadsheets/d/1XWAQStnk-4SwqDmLtmXYiTMKHgktTP8We1SCoS47DrQ/edit?usp=sharing"",""จัดที่ดิน!AJ72"")"),273)</f>
        <v>273</v>
      </c>
      <c r="K379" s="497">
        <f t="shared" ca="1" si="164"/>
        <v>85.3125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IFERROR(__xludf.DUMMYFUNCTION("IMPORTRANGE(""https://docs.google.com/spreadsheets/d/1XWAQStnk-4SwqDmLtmXYiTMKHgktTP8We1SCoS47DrQ/edit?usp=sharing"",""จัดที่ดิน!AK72"")"),2787.15)</f>
        <v>2787.15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IFERROR(__xludf.DUMMYFUNCTION("IMPORTRANGE(""https://docs.google.com/spreadsheets/d/1QqKyyYR6Q21VydFLVH3TRQUabQu_ym0Zz7PgGX0-kHA/edit?usp=sharing"",""แผน!EU72"")"),320)</f>
        <v>320</v>
      </c>
      <c r="J381" s="270">
        <f ca="1">IFERROR(__xludf.DUMMYFUNCTION("IMPORTRANGE(""https://docs.google.com/spreadsheets/d/1XWAQStnk-4SwqDmLtmXYiTMKHgktTP8We1SCoS47DrQ/edit?usp=sharing"",""จัดที่ดิน!AL72"")"),273)</f>
        <v>273</v>
      </c>
      <c r="K381" s="497">
        <f t="shared" ca="1" si="164"/>
        <v>85.3125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IFERROR(__xludf.DUMMYFUNCTION("IMPORTRANGE(""https://docs.google.com/spreadsheets/d/1XWAQStnk-4SwqDmLtmXYiTMKHgktTP8We1SCoS47DrQ/edit?usp=sharing"",""จัดที่ดิน!AM72"")"),2787.15)</f>
        <v>2787.15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75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IFERROR(__xludf.DUMMYFUNCTION("IMPORTRANGE(""https://docs.google.com/spreadsheets/d/1QqKyyYR6Q21VydFLVH3TRQUabQu_ym0Zz7PgGX0-kHA/edit?usp=sharing"",""แผน!EW72"")"),40)</f>
        <v>40</v>
      </c>
      <c r="J385" s="501">
        <f ca="1">IFERROR(__xludf.DUMMYFUNCTION("IMPORTRANGE(""https://docs.google.com/spreadsheets/d/1XWAQStnk-4SwqDmLtmXYiTMKHgktTP8We1SCoS47DrQ/edit?usp=sharing"",""จัดที่ดิน!AP72"")"),85)</f>
        <v>85</v>
      </c>
      <c r="K385" s="502">
        <f ca="1">IF(I385&gt;0,J385*100/I385,0)</f>
        <v>212.5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IFERROR(__xludf.DUMMYFUNCTION("IMPORTRANGE(""https://docs.google.com/spreadsheets/d/1MeEWN-I1oV_STSDYn1IFDPWt_1FKiwhDph83XaGc0o0/edit?usp=sharing"",""งบพรบ!FG72"")"),0)</f>
        <v>0</v>
      </c>
      <c r="M394" s="93">
        <f ca="1">IFERROR(__xludf.DUMMYFUNCTION("IMPORTRANGE(""https://docs.google.com/spreadsheets/d/1MeEWN-I1oV_STSDYn1IFDPWt_1FKiwhDph83XaGc0o0/edit?usp=sharing"",""งบพรบ!FL72"")"),0)</f>
        <v>0</v>
      </c>
      <c r="N394" s="93">
        <f ca="1">IFERROR(__xludf.DUMMYFUNCTION("IMPORTRANGE(""https://docs.google.com/spreadsheets/d/1MeEWN-I1oV_STSDYn1IFDPWt_1FKiwhDph83XaGc0o0/edit?usp=sharing"",""งบพรบ!FN72"")"),0)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IFERROR(__xludf.DUMMYFUNCTION("IMPORTRANGE(""https://docs.google.com/spreadsheets/d/1MeEWN-I1oV_STSDYn1IFDPWt_1FKiwhDph83XaGc0o0/edit?usp=sharing"",""งบพรบ!FJ72"")"),0)</f>
        <v>0</v>
      </c>
      <c r="M397" s="93">
        <f ca="1">IFERROR(__xludf.DUMMYFUNCTION("IMPORTRANGE(""https://docs.google.com/spreadsheets/d/1MeEWN-I1oV_STSDYn1IFDPWt_1FKiwhDph83XaGc0o0/edit?usp=sharing"",""งบพรบ!FM72"")"),0)</f>
        <v>0</v>
      </c>
      <c r="N397" s="93">
        <f ca="1">IFERROR(__xludf.DUMMYFUNCTION("IMPORTRANGE(""https://docs.google.com/spreadsheets/d/1MeEWN-I1oV_STSDYn1IFDPWt_1FKiwhDph83XaGc0o0/edit?usp=sharing"",""งบพรบ!FO72"")"),0)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IFERROR(__xludf.DUMMYFUNCTION("IMPORTRANGE(""https://docs.google.com/spreadsheets/d/1MeEWN-I1oV_STSDYn1IFDPWt_1FKiwhDph83XaGc0o0/edit?usp=sharing"",""งบพรบ!FQ72"")"),0)</f>
        <v>0</v>
      </c>
      <c r="M407" s="93">
        <f ca="1">IFERROR(__xludf.DUMMYFUNCTION("IMPORTRANGE(""https://docs.google.com/spreadsheets/d/1MeEWN-I1oV_STSDYn1IFDPWt_1FKiwhDph83XaGc0o0/edit?usp=sharing"",""งบพรบ!FV72"")"),0)</f>
        <v>0</v>
      </c>
      <c r="N407" s="93">
        <f ca="1">IFERROR(__xludf.DUMMYFUNCTION("IMPORTRANGE(""https://docs.google.com/spreadsheets/d/1MeEWN-I1oV_STSDYn1IFDPWt_1FKiwhDph83XaGc0o0/edit?usp=sharing"",""งบพรบ!FX72"")"),0)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IFERROR(__xludf.DUMMYFUNCTION("IMPORTRANGE(""https://docs.google.com/spreadsheets/d/1MeEWN-I1oV_STSDYn1IFDPWt_1FKiwhDph83XaGc0o0/edit?usp=sharing"",""งบพรบ!FT72"")"),0)</f>
        <v>0</v>
      </c>
      <c r="M410" s="93">
        <f ca="1">IFERROR(__xludf.DUMMYFUNCTION("IMPORTRANGE(""https://docs.google.com/spreadsheets/d/1MeEWN-I1oV_STSDYn1IFDPWt_1FKiwhDph83XaGc0o0/edit?usp=sharing"",""งบพรบ!FW72"")"),0)</f>
        <v>0</v>
      </c>
      <c r="N410" s="93">
        <f ca="1">IFERROR(__xludf.DUMMYFUNCTION("IMPORTRANGE(""https://docs.google.com/spreadsheets/d/1MeEWN-I1oV_STSDYn1IFDPWt_1FKiwhDph83XaGc0o0/edit?usp=sharing"",""งบพรบ!FY72"")"),0)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1760768</v>
      </c>
      <c r="M414" s="549">
        <f t="shared" ca="1" si="181"/>
        <v>1753178</v>
      </c>
      <c r="N414" s="549">
        <f t="shared" si="181"/>
        <v>1499672.07</v>
      </c>
      <c r="O414" s="549">
        <f ca="1">IF(L414&gt;0,N414*100/L414,0)</f>
        <v>85.171474606535327</v>
      </c>
      <c r="P414" s="549">
        <f ca="1">IF(M414&gt;0,N414*100/M414,0)</f>
        <v>85.540205843331364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60</v>
      </c>
      <c r="J417" s="565">
        <f t="shared" ca="1" si="182"/>
        <v>60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205500</v>
      </c>
      <c r="M419" s="155">
        <f t="shared" ca="1" si="184"/>
        <v>197910</v>
      </c>
      <c r="N419" s="155">
        <f t="shared" si="184"/>
        <v>197910</v>
      </c>
      <c r="O419" s="155">
        <f t="shared" ref="O419:O424" ca="1" si="185">IF(L419&gt;0,N419*100/L419,0)</f>
        <v>96.306569343065689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205500</v>
      </c>
      <c r="M421" s="93">
        <f t="shared" ca="1" si="187"/>
        <v>197910</v>
      </c>
      <c r="N421" s="93">
        <f t="shared" si="187"/>
        <v>197910</v>
      </c>
      <c r="O421" s="93">
        <f t="shared" ca="1" si="185"/>
        <v>96.306569343065689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205500</v>
      </c>
      <c r="M422" s="497">
        <f t="shared" ca="1" si="188"/>
        <v>197910</v>
      </c>
      <c r="N422" s="497">
        <f t="shared" si="188"/>
        <v>197910</v>
      </c>
      <c r="O422" s="497">
        <f t="shared" ca="1" si="185"/>
        <v>96.306569343065689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IFERROR(__xludf.DUMMYFUNCTION("IMPORTRANGE(""https://docs.google.com/spreadsheets/d/1QqKyyYR6Q21VydFLVH3TRQUabQu_ym0Zz7PgGX0-kHA/edit?usp=sharing"",""แผน!EY72"")"),205500)</f>
        <v>205500</v>
      </c>
      <c r="M424" s="93">
        <f ca="1">L424-7590</f>
        <v>197910</v>
      </c>
      <c r="N424" s="93">
        <f>N425+N426+N427+N428</f>
        <v>197910</v>
      </c>
      <c r="O424" s="93">
        <f t="shared" ca="1" si="185"/>
        <v>96.306569343065689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158340+9310</f>
        <v>167650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3080+17600+9580</f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IFERROR(__xludf.DUMMYFUNCTION("IMPORTRANGE(""https://docs.google.com/spreadsheets/d/1QqKyyYR6Q21VydFLVH3TRQUabQu_ym0Zz7PgGX0-kHA/edit?usp=sharing"",""แผน!FC72"")"),60)</f>
        <v>60</v>
      </c>
      <c r="J435" s="579">
        <v>60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IFERROR(__xludf.DUMMYFUNCTION("IMPORTRANGE(""https://docs.google.com/spreadsheets/d/1QqKyyYR6Q21VydFLVH3TRQUabQu_ym0Zz7PgGX0-kHA/edit?usp=sharing"",""แผน!FD72"")"),40)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IFERROR(__xludf.DUMMYFUNCTION("IMPORTRANGE(""https://docs.google.com/spreadsheets/d/1QqKyyYR6Q21VydFLVH3TRQUabQu_ym0Zz7PgGX0-kHA/edit?usp=sharing"",""แผน!FE72"")"),1)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IFERROR(__xludf.DUMMYFUNCTION("IMPORTRANGE(""https://docs.google.com/spreadsheets/d/1QqKyyYR6Q21VydFLVH3TRQUabQu_ym0Zz7PgGX0-kHA/edit?usp=sharing"",""แผน!FF72"")"),20)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309180</v>
      </c>
      <c r="M444" s="195">
        <f t="shared" ca="1" si="197"/>
        <v>309180</v>
      </c>
      <c r="N444" s="195">
        <f t="shared" si="197"/>
        <v>268903.24</v>
      </c>
      <c r="O444" s="195">
        <f t="shared" ref="O444:O449" ca="1" si="198">IF(L444&gt;0,N444*100/L444,0)</f>
        <v>86.973038359531671</v>
      </c>
      <c r="P444" s="195">
        <f t="shared" ref="P444:P449" ca="1" si="199">IF(M444&gt;0,N444*100/M444,0)</f>
        <v>86.973038359531671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309180</v>
      </c>
      <c r="M446" s="93">
        <f t="shared" ca="1" si="200"/>
        <v>309180</v>
      </c>
      <c r="N446" s="93">
        <f t="shared" si="200"/>
        <v>268903.24</v>
      </c>
      <c r="O446" s="93">
        <f t="shared" ca="1" si="198"/>
        <v>86.973038359531671</v>
      </c>
      <c r="P446" s="93">
        <f t="shared" ca="1" si="199"/>
        <v>86.973038359531671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309180</v>
      </c>
      <c r="M447" s="497">
        <f t="shared" ca="1" si="201"/>
        <v>309180</v>
      </c>
      <c r="N447" s="497">
        <f t="shared" si="201"/>
        <v>268903.24</v>
      </c>
      <c r="O447" s="497">
        <f t="shared" ca="1" si="198"/>
        <v>86.973038359531671</v>
      </c>
      <c r="P447" s="497">
        <f t="shared" ca="1" si="199"/>
        <v>86.973038359531671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IFERROR(__xludf.DUMMYFUNCTION("IMPORTRANGE(""https://docs.google.com/spreadsheets/d/1QqKyyYR6Q21VydFLVH3TRQUabQu_ym0Zz7PgGX0-kHA/edit?usp=sharing"",""แผน!FJ72"")"),309180)</f>
        <v>309180</v>
      </c>
      <c r="M449" s="93">
        <f ca="1">L449</f>
        <v>309180</v>
      </c>
      <c r="N449" s="93">
        <f>N450+N451+N452+N453</f>
        <v>268903.24</v>
      </c>
      <c r="O449" s="93">
        <f t="shared" ca="1" si="198"/>
        <v>86.973038359531671</v>
      </c>
      <c r="P449" s="93">
        <f t="shared" ca="1" si="199"/>
        <v>86.973038359531671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54400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70500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103133.24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13630+5000+2420+12840+6980</f>
        <v>40870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IFERROR(__xludf.DUMMYFUNCTION("IMPORTRANGE(""https://docs.google.com/spreadsheets/d/1QqKyyYR6Q21VydFLVH3TRQUabQu_ym0Zz7PgGX0-kHA/edit?usp=sharing"",""แผน!FN72"")"),40)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IFERROR(__xludf.DUMMYFUNCTION("IMPORTRANGE(""https://docs.google.com/spreadsheets/d/1QqKyyYR6Q21VydFLVH3TRQUabQu_ym0Zz7PgGX0-kHA/edit?usp=sharing"",""แผน!FO72"")"),60)</f>
        <v>60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IFERROR(__xludf.DUMMYFUNCTION("IMPORTRANGE(""https://docs.google.com/spreadsheets/d/1QqKyyYR6Q21VydFLVH3TRQUabQu_ym0Zz7PgGX0-kHA/edit?usp=sharing"",""แผน!FO72"")"),60)</f>
        <v>60</v>
      </c>
      <c r="J463" s="215">
        <v>60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IFERROR(__xludf.DUMMYFUNCTION("IMPORTRANGE(""https://docs.google.com/spreadsheets/d/1QqKyyYR6Q21VydFLVH3TRQUabQu_ym0Zz7PgGX0-kHA/edit?usp=sharing"",""แผน!FN72"")"),40)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IFERROR(__xludf.DUMMYFUNCTION("IMPORTRANGE(""https://docs.google.com/spreadsheets/d/1QqKyyYR6Q21VydFLVH3TRQUabQu_ym0Zz7PgGX0-kHA/edit?usp=sharing"",""แผน!FX72"")"),41)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IFERROR(__xludf.DUMMYFUNCTION("IMPORTRANGE(""https://docs.google.com/spreadsheets/d/1QqKyyYR6Q21VydFLVH3TRQUabQu_ym0Zz7PgGX0-kHA/edit?usp=sharing"",""แผน!FW72"")"),400)</f>
        <v>400</v>
      </c>
      <c r="J466" s="565">
        <f>J495+J498</f>
        <v>400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330863</v>
      </c>
      <c r="M467" s="195">
        <f t="shared" ca="1" si="206"/>
        <v>330863</v>
      </c>
      <c r="N467" s="195">
        <f t="shared" si="206"/>
        <v>330389</v>
      </c>
      <c r="O467" s="195">
        <f t="shared" ref="O467:O472" ca="1" si="207">IF(L467&gt;0,N467*100/L467,0)</f>
        <v>99.85673828744828</v>
      </c>
      <c r="P467" s="195">
        <f t="shared" ref="P467:P472" ca="1" si="208">IF(M467&gt;0,N467*100/M467,0)</f>
        <v>99.85673828744828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330863</v>
      </c>
      <c r="M469" s="93">
        <f t="shared" ca="1" si="209"/>
        <v>330863</v>
      </c>
      <c r="N469" s="93">
        <f t="shared" si="209"/>
        <v>330389</v>
      </c>
      <c r="O469" s="93">
        <f t="shared" ca="1" si="207"/>
        <v>99.85673828744828</v>
      </c>
      <c r="P469" s="93">
        <f t="shared" ca="1" si="208"/>
        <v>99.85673828744828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330863</v>
      </c>
      <c r="M470" s="497">
        <f t="shared" ca="1" si="210"/>
        <v>330863</v>
      </c>
      <c r="N470" s="497">
        <f t="shared" si="210"/>
        <v>330389</v>
      </c>
      <c r="O470" s="497">
        <f t="shared" ca="1" si="207"/>
        <v>99.85673828744828</v>
      </c>
      <c r="P470" s="497">
        <f t="shared" ca="1" si="208"/>
        <v>99.85673828744828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IFERROR(__xludf.DUMMYFUNCTION("IMPORTRANGE(""https://docs.google.com/spreadsheets/d/1QqKyyYR6Q21VydFLVH3TRQUabQu_ym0Zz7PgGX0-kHA/edit?usp=sharing"",""แผน!FS72"")"),330863)</f>
        <v>330863</v>
      </c>
      <c r="M472" s="93">
        <f ca="1">L472</f>
        <v>330863</v>
      </c>
      <c r="N472" s="93">
        <f>N473+N474+N475+N476</f>
        <v>330389</v>
      </c>
      <c r="O472" s="93">
        <f t="shared" ca="1" si="207"/>
        <v>99.85673828744828</v>
      </c>
      <c r="P472" s="93">
        <f t="shared" ca="1" si="208"/>
        <v>99.85673828744828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48603+3000</f>
        <v>51603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252000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15036+1350+710+6200+3490</f>
        <v>26786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IFERROR(__xludf.DUMMYFUNCTION("IMPORTRANGE(""https://docs.google.com/spreadsheets/d/1QqKyyYR6Q21VydFLVH3TRQUabQu_ym0Zz7PgGX0-kHA/edit?usp=sharing"",""แผน!FY72"")"),360)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36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IFERROR(__xludf.DUMMYFUNCTION("IMPORTRANGE(""https://docs.google.com/spreadsheets/d/1QqKyyYR6Q21VydFLVH3TRQUabQu_ym0Zz7PgGX0-kHA/edit?usp=sharing"",""แผน!FZ72"")"),36)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IFERROR(__xludf.DUMMYFUNCTION("IMPORTRANGE(""https://docs.google.com/spreadsheets/d/1QqKyyYR6Q21VydFLVH3TRQUabQu_ym0Zz7PgGX0-kHA/edit?usp=sharing"",""แผน!GA72"")"),40)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4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IFERROR(__xludf.DUMMYFUNCTION("IMPORTRANGE(""https://docs.google.com/spreadsheets/d/1QqKyyYR6Q21VydFLVH3TRQUabQu_ym0Zz7PgGX0-kHA/edit?usp=sharing"",""แผน!GB72"")"),4)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IFERROR(__xludf.DUMMYFUNCTION("IMPORTRANGE(""https://docs.google.com/spreadsheets/d/1QqKyyYR6Q21VydFLVH3TRQUabQu_ym0Zz7PgGX0-kHA/edit?usp=sharing"",""แผน!FY72"")"),360)</f>
        <v>360</v>
      </c>
      <c r="J495" s="215">
        <v>360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36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IFERROR(__xludf.DUMMYFUNCTION("IMPORTRANGE(""https://docs.google.com/spreadsheets/d/1QqKyyYR6Q21VydFLVH3TRQUabQu_ym0Zz7PgGX0-kHA/edit?usp=sharing"",""แผน!GA72"")"),40)</f>
        <v>40</v>
      </c>
      <c r="J498" s="215">
        <v>40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4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14728</v>
      </c>
      <c r="J543" s="682">
        <f t="shared" si="235"/>
        <v>14728</v>
      </c>
      <c r="K543" s="683">
        <f t="shared" ca="1" si="234"/>
        <v>100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496730</v>
      </c>
      <c r="M544" s="155">
        <f t="shared" ca="1" si="236"/>
        <v>496730</v>
      </c>
      <c r="N544" s="155">
        <f t="shared" si="236"/>
        <v>378636.58999999997</v>
      </c>
      <c r="O544" s="155">
        <f t="shared" ref="O544:O549" ca="1" si="237">IF(L544&gt;0,N544*100/L544,0)</f>
        <v>76.225834960642601</v>
      </c>
      <c r="P544" s="155">
        <f t="shared" ref="P544:P549" ca="1" si="238">IF(M544&gt;0,N544*100/M544,0)</f>
        <v>76.225834960642601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496730</v>
      </c>
      <c r="M546" s="93">
        <f t="shared" ca="1" si="240"/>
        <v>496730</v>
      </c>
      <c r="N546" s="93">
        <f t="shared" si="240"/>
        <v>378636.58999999997</v>
      </c>
      <c r="O546" s="93">
        <f t="shared" ca="1" si="237"/>
        <v>76.225834960642601</v>
      </c>
      <c r="P546" s="93">
        <f t="shared" ca="1" si="238"/>
        <v>76.225834960642601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496730</v>
      </c>
      <c r="M547" s="497">
        <f t="shared" ca="1" si="241"/>
        <v>496730</v>
      </c>
      <c r="N547" s="497">
        <f t="shared" si="241"/>
        <v>378636.58999999997</v>
      </c>
      <c r="O547" s="497">
        <f t="shared" ca="1" si="237"/>
        <v>76.225834960642601</v>
      </c>
      <c r="P547" s="497">
        <f t="shared" ca="1" si="238"/>
        <v>76.225834960642601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IFERROR(__xludf.DUMMYFUNCTION("IMPORTRANGE(""https://docs.google.com/spreadsheets/d/1QqKyyYR6Q21VydFLVH3TRQUabQu_ym0Zz7PgGX0-kHA/edit?usp=sharing"",""แผน!HB72"")"),496730)</f>
        <v>496730</v>
      </c>
      <c r="M549" s="93">
        <f ca="1">L549</f>
        <v>496730</v>
      </c>
      <c r="N549" s="93">
        <f>N550+N551+N552+N553+N554</f>
        <v>378636.58999999997</v>
      </c>
      <c r="O549" s="93">
        <f t="shared" ca="1" si="237"/>
        <v>76.225834960642601</v>
      </c>
      <c r="P549" s="93">
        <f t="shared" ca="1" si="238"/>
        <v>76.225834960642601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101740.24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49200+38500+3570+13580+5880+23910.35+32736+92360+17160</f>
        <v>276896.34999999998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14728</v>
      </c>
      <c r="J559" s="703">
        <f t="shared" si="245"/>
        <v>14728</v>
      </c>
      <c r="K559" s="672">
        <f t="shared" ref="K559:K561" ca="1" si="246">IF(I559&gt;0,J559*100/I559,0)</f>
        <v>100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IFERROR(__xludf.DUMMYFUNCTION("IMPORTRANGE(""https://docs.google.com/spreadsheets/d/1QqKyyYR6Q21VydFLVH3TRQUabQu_ym0Zz7PgGX0-kHA/edit?usp=sharing"",""แผน!HH72"")"),14728)</f>
        <v>14728</v>
      </c>
      <c r="J560" s="193">
        <f t="shared" ref="J560:J561" si="247">J562+J564+J566</f>
        <v>14728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IFERROR(__xludf.DUMMYFUNCTION("IMPORTRANGE(""https://docs.google.com/spreadsheets/d/1QqKyyYR6Q21VydFLVH3TRQUabQu_ym0Zz7PgGX0-kHA/edit?usp=sharing"",""แผน!HG72"")"),1477)</f>
        <v>1477</v>
      </c>
      <c r="J561" s="193">
        <f t="shared" si="247"/>
        <v>1477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10728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1128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3628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318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372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31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IFERROR(__xludf.DUMMYFUNCTION("IMPORTRANGE(""https://docs.google.com/spreadsheets/d/1QqKyyYR6Q21VydFLVH3TRQUabQu_ym0Zz7PgGX0-kHA/edit?usp=sharing"",""แผน!HH72"")"),14728)</f>
        <v>14728</v>
      </c>
      <c r="J568" s="676">
        <f t="shared" ref="J568:J569" si="248">J570+J572+J574</f>
        <v>14728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IFERROR(__xludf.DUMMYFUNCTION("IMPORTRANGE(""https://docs.google.com/spreadsheets/d/1QqKyyYR6Q21VydFLVH3TRQUabQu_ym0Zz7PgGX0-kHA/edit?usp=sharing"",""แผน!HG72"")"),1477)</f>
        <v>1477</v>
      </c>
      <c r="J569" s="676">
        <f t="shared" si="248"/>
        <v>1477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903">
        <v>11223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903">
        <v>1173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903">
        <v>2745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903">
        <v>242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903">
        <v>760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903">
        <v>62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IFERROR(__xludf.DUMMYFUNCTION("IMPORTRANGE(""https://docs.google.com/spreadsheets/d/1QqKyyYR6Q21VydFLVH3TRQUabQu_ym0Zz7PgGX0-kHA/edit?usp=sharing"",""แผน!HH72"")"),14728)</f>
        <v>14728</v>
      </c>
      <c r="J576" s="676">
        <f t="shared" ref="J576:J577" si="250">J578+J580+J582+J588+J590</f>
        <v>14728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IFERROR(__xludf.DUMMYFUNCTION("IMPORTRANGE(""https://docs.google.com/spreadsheets/d/1QqKyyYR6Q21VydFLVH3TRQUabQu_ym0Zz7PgGX0-kHA/edit?usp=sharing"",""แผน!HG72"")"),1477)</f>
        <v>1477</v>
      </c>
      <c r="J577" s="676">
        <f t="shared" si="250"/>
        <v>1477</v>
      </c>
      <c r="K577" s="411">
        <f t="shared" ca="1" si="251"/>
        <v>100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11223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1173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760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62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760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62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4157.6899999999996</v>
      </c>
      <c r="J592" s="703">
        <f t="shared" si="253"/>
        <v>2726</v>
      </c>
      <c r="K592" s="672">
        <f t="shared" ref="K592:K594" ca="1" si="254">IF(I592&gt;0,J592*100/I592,0)</f>
        <v>65.565253782749565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IFERROR(__xludf.DUMMYFUNCTION("IMPORTRANGE(""https://docs.google.com/spreadsheets/d/1QqKyyYR6Q21VydFLVH3TRQUabQu_ym0Zz7PgGX0-kHA/edit?usp=sharing"",""แผน!HJ72"")"),4157.69)</f>
        <v>4157.6899999999996</v>
      </c>
      <c r="J593" s="193">
        <f t="shared" ref="J593:J594" si="255">J595+J603+J609</f>
        <v>2726</v>
      </c>
      <c r="K593" s="411">
        <f t="shared" ca="1" si="254"/>
        <v>65.565253782749565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IFERROR(__xludf.DUMMYFUNCTION("IMPORTRANGE(""https://docs.google.com/spreadsheets/d/1QqKyyYR6Q21VydFLVH3TRQUabQu_ym0Zz7PgGX0-kHA/edit?usp=sharing"",""แผน!HI72"")"),489)</f>
        <v>489</v>
      </c>
      <c r="J594" s="193">
        <f t="shared" si="255"/>
        <v>302</v>
      </c>
      <c r="K594" s="411">
        <f t="shared" ca="1" si="254"/>
        <v>61.758691206543965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1313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164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1002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130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311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34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1413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138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1413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138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IFERROR(__xludf.DUMMYFUNCTION("IMPORTRANGE(""https://docs.google.com/spreadsheets/d/1QqKyyYR6Q21VydFLVH3TRQUabQu_ym0Zz7PgGX0-kHA/edit?usp=sharing"",""แผน!HL72"")"),8)</f>
        <v>8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IFERROR(__xludf.DUMMYFUNCTION("IMPORTRANGE(""https://docs.google.com/spreadsheets/d/1QqKyyYR6Q21VydFLVH3TRQUabQu_ym0Zz7PgGX0-kHA/edit?usp=sharing"",""แผน!HK72"")"),3)</f>
        <v>3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54</v>
      </c>
      <c r="K628" s="737">
        <f ca="1">IF(I628&gt;0,J628*100/I628,0)</f>
        <v>54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313585.24</v>
      </c>
      <c r="O629" s="195">
        <f t="shared" ref="O629:O634" ca="1" si="264">IF(L629&gt;0,N629*100/L629,0)</f>
        <v>82.19473415199927</v>
      </c>
      <c r="P629" s="195">
        <f t="shared" ref="P629:P634" ca="1" si="265">IF(M629&gt;0,N629*100/M629,0)</f>
        <v>82.19473415199927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313585.24</v>
      </c>
      <c r="O631" s="93">
        <f t="shared" ca="1" si="264"/>
        <v>82.19473415199927</v>
      </c>
      <c r="P631" s="93">
        <f t="shared" ca="1" si="265"/>
        <v>82.19473415199927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313585.24</v>
      </c>
      <c r="O632" s="497">
        <f t="shared" ca="1" si="264"/>
        <v>82.19473415199927</v>
      </c>
      <c r="P632" s="497">
        <f t="shared" ca="1" si="265"/>
        <v>82.19473415199927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IFERROR(__xludf.DUMMYFUNCTION("IMPORTRANGE(""https://docs.google.com/spreadsheets/d/1QqKyyYR6Q21VydFLVH3TRQUabQu_ym0Zz7PgGX0-kHA/edit?usp=sharing"",""แผน!HN72"")"),381515)</f>
        <v>381515</v>
      </c>
      <c r="M634" s="93">
        <f ca="1">L634</f>
        <v>381515</v>
      </c>
      <c r="N634" s="93">
        <f>N635+N636+N637+N638</f>
        <v>313585.24</v>
      </c>
      <c r="O634" s="93">
        <f t="shared" ca="1" si="264"/>
        <v>82.19473415199927</v>
      </c>
      <c r="P634" s="93">
        <f t="shared" ca="1" si="265"/>
        <v>82.19473415199927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103133.24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26250+4000+79430+800+2900+30272+66800</f>
        <v>210452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IFERROR(__xludf.DUMMYFUNCTION("IMPORTRANGE(""https://docs.google.com/spreadsheets/d/1XWAQStnk-4SwqDmLtmXYiTMKHgktTP8We1SCoS47DrQ/edit?usp=sharing"",""จัดที่ดิน!AS72"")"),125)</f>
        <v>125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IFERROR(__xludf.DUMMYFUNCTION("IMPORTRANGE(""https://docs.google.com/spreadsheets/d/1XWAQStnk-4SwqDmLtmXYiTMKHgktTP8We1SCoS47DrQ/edit?usp=sharing"",""จัดที่ดิน!AT72"")"),76.66)</f>
        <v>76.66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IFERROR(__xludf.DUMMYFUNCTION("IMPORTRANGE(""https://docs.google.com/spreadsheets/d/1QqKyyYR6Q21VydFLVH3TRQUabQu_ym0Zz7PgGX0-kHA/edit?usp=sharing"",""แผน!HS72"")"),100)</f>
        <v>100</v>
      </c>
      <c r="J647" s="270">
        <f ca="1">IFERROR(__xludf.DUMMYFUNCTION("IMPORTRANGE(""https://docs.google.com/spreadsheets/d/1XWAQStnk-4SwqDmLtmXYiTMKHgktTP8We1SCoS47DrQ/edit?usp=sharing"",""จัดที่ดิน!AU72"")"),138)</f>
        <v>138</v>
      </c>
      <c r="K647" s="163">
        <f t="shared" ca="1" si="271"/>
        <v>138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IFERROR(__xludf.DUMMYFUNCTION("IMPORTRANGE(""https://docs.google.com/spreadsheets/d/1XWAQStnk-4SwqDmLtmXYiTMKHgktTP8We1SCoS47DrQ/edit?usp=sharing"",""จัดที่ดิน!AV72"")"),87.63)</f>
        <v>87.63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IFERROR(__xludf.DUMMYFUNCTION("IMPORTRANGE(""https://docs.google.com/spreadsheets/d/1QqKyyYR6Q21VydFLVH3TRQUabQu_ym0Zz7PgGX0-kHA/edit?usp=sharing"",""แผน!HS72"")"),100)</f>
        <v>100</v>
      </c>
      <c r="J649" s="270">
        <f ca="1">IFERROR(__xludf.DUMMYFUNCTION("IMPORTRANGE(""https://docs.google.com/spreadsheets/d/1XWAQStnk-4SwqDmLtmXYiTMKHgktTP8We1SCoS47DrQ/edit?usp=sharing"",""จัดที่ดิน!AW72"")"),106)</f>
        <v>106</v>
      </c>
      <c r="K649" s="163">
        <f t="shared" ca="1" si="271"/>
        <v>106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IFERROR(__xludf.DUMMYFUNCTION("IMPORTRANGE(""https://docs.google.com/spreadsheets/d/1XWAQStnk-4SwqDmLtmXYiTMKHgktTP8We1SCoS47DrQ/edit?usp=sharing"",""จัดที่ดิน!AX72"")"),57.49)</f>
        <v>57.49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IFERROR(__xludf.DUMMYFUNCTION("IMPORTRANGE(""https://docs.google.com/spreadsheets/d/1QqKyyYR6Q21VydFLVH3TRQUabQu_ym0Zz7PgGX0-kHA/edit?usp=sharing"",""แผน!HS72"")"),100)</f>
        <v>100</v>
      </c>
      <c r="J651" s="270">
        <f ca="1">IFERROR(__xludf.DUMMYFUNCTION("IMPORTRANGE(""https://docs.google.com/spreadsheets/d/1XWAQStnk-4SwqDmLtmXYiTMKHgktTP8We1SCoS47DrQ/edit?usp=sharing"",""จัดที่ดิน!AY72"")"),54)</f>
        <v>54</v>
      </c>
      <c r="K651" s="163">
        <f t="shared" ca="1" si="271"/>
        <v>54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IFERROR(__xludf.DUMMYFUNCTION("IMPORTRANGE(""https://docs.google.com/spreadsheets/d/1XWAQStnk-4SwqDmLtmXYiTMKHgktTP8We1SCoS47DrQ/edit?usp=sharing"",""จัดที่ดิน!AZ72"")"),36)</f>
        <v>36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ca="1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0</v>
      </c>
      <c r="O657" s="93">
        <f t="shared" ca="1" si="274"/>
        <v>0</v>
      </c>
      <c r="P657" s="93">
        <f t="shared" ca="1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0</v>
      </c>
      <c r="O658" s="497">
        <f t="shared" ca="1" si="274"/>
        <v>0</v>
      </c>
      <c r="P658" s="497">
        <f t="shared" ca="1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IFERROR(__xludf.DUMMYFUNCTION("IMPORTRANGE(""https://docs.google.com/spreadsheets/d/1QqKyyYR6Q21VydFLVH3TRQUabQu_ym0Zz7PgGX0-kHA/edit?usp=sharing"",""แผน!HV72"")"),12400)</f>
        <v>12400</v>
      </c>
      <c r="M660" s="93">
        <f ca="1">L660</f>
        <v>12400</v>
      </c>
      <c r="N660" s="93">
        <f>N661+N662+N663+N664</f>
        <v>0</v>
      </c>
      <c r="O660" s="93">
        <f t="shared" ca="1" si="274"/>
        <v>0</v>
      </c>
      <c r="P660" s="93">
        <f t="shared" ca="1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IFERROR(__xludf.DUMMYFUNCTION("IMPORTRANGE(""https://docs.google.com/spreadsheets/d/1QqKyyYR6Q21VydFLVH3TRQUabQu_ym0Zz7PgGX0-kHA/edit?usp=sharing"",""แผน!IA72"")"),100)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IFERROR(__xludf.DUMMYFUNCTION("IMPORTRANGE(""https://docs.google.com/spreadsheets/d/1QqKyyYR6Q21VydFLVH3TRQUabQu_ym0Zz7PgGX0-kHA/edit?usp=sharing"",""แผน!HZ72"")"),4)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IFERROR(__xludf.DUMMYFUNCTION("IMPORTRANGE(""https://docs.google.com/spreadsheets/d/1QqKyyYR6Q21VydFLVH3TRQUabQu_ym0Zz7PgGX0-kHA/edit?usp=sharing"",""แผน!HZ72"")"),4)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24580</v>
      </c>
      <c r="M685" s="195">
        <f t="shared" ca="1" si="282"/>
        <v>24580</v>
      </c>
      <c r="N685" s="195">
        <f t="shared" si="282"/>
        <v>10248</v>
      </c>
      <c r="O685" s="195">
        <f t="shared" ref="O685:O688" ca="1" si="283">IF(L685&gt;0,N685*100/L685,0)</f>
        <v>41.692432872253868</v>
      </c>
      <c r="P685" s="195">
        <f t="shared" ref="P685:P688" ca="1" si="284">IF(M685&gt;0,N685*100/M685,0)</f>
        <v>41.692432872253868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24580</v>
      </c>
      <c r="M687" s="93">
        <f t="shared" ca="1" si="285"/>
        <v>24580</v>
      </c>
      <c r="N687" s="93">
        <f t="shared" si="285"/>
        <v>10248</v>
      </c>
      <c r="O687" s="93">
        <f t="shared" ca="1" si="283"/>
        <v>41.692432872253868</v>
      </c>
      <c r="P687" s="93">
        <f t="shared" ca="1" si="284"/>
        <v>41.692432872253868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24580</v>
      </c>
      <c r="M688" s="497">
        <f t="shared" ca="1" si="286"/>
        <v>24580</v>
      </c>
      <c r="N688" s="497">
        <f t="shared" si="286"/>
        <v>10248</v>
      </c>
      <c r="O688" s="497">
        <f t="shared" ca="1" si="283"/>
        <v>41.692432872253868</v>
      </c>
      <c r="P688" s="497">
        <f t="shared" ca="1" si="284"/>
        <v>41.692432872253868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IFERROR(__xludf.DUMMYFUNCTION("IMPORTRANGE(""https://docs.google.com/spreadsheets/d/1QqKyyYR6Q21VydFLVH3TRQUabQu_ym0Zz7PgGX0-kHA/edit?usp=sharing"",""แผน!HW72"")"),24580)</f>
        <v>24580</v>
      </c>
      <c r="M690" s="93">
        <f ca="1">L690</f>
        <v>24580</v>
      </c>
      <c r="N690" s="93">
        <f>N691+N692+N693+N694</f>
        <v>10248</v>
      </c>
      <c r="O690" s="93">
        <f ca="1">IF(L690&gt;0,N690*100/L690,0)</f>
        <v>41.692432872253868</v>
      </c>
      <c r="P690" s="93">
        <f ca="1">IF(M690&gt;0,N690*100/M690,0)</f>
        <v>41.692432872253868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f>1400+8848</f>
        <v>10248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IFERROR(__xludf.DUMMYFUNCTION("IMPORTRANGE(""https://docs.google.com/spreadsheets/d/1QqKyyYR6Q21VydFLVH3TRQUabQu_ym0Zz7PgGX0-kHA/edit?usp=sharing"",""แผน!IC72"")"),0)</f>
        <v>0</v>
      </c>
      <c r="J699" s="270">
        <f ca="1">IFERROR(__xludf.DUMMYFUNCTION("IMPORTRANGE(""https://docs.google.com/spreadsheets/d/1XWAQStnk-4SwqDmLtmXYiTMKHgktTP8We1SCoS47DrQ/edit?usp=sharing"",""จัดที่ดิน!BB72"")"),0)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IFERROR(__xludf.DUMMYFUNCTION("IMPORTRANGE(""https://docs.google.com/spreadsheets/d/1QqKyyYR6Q21VydFLVH3TRQUabQu_ym0Zz7PgGX0-kHA/edit?usp=sharing"",""แผน!ID72"")"),0)</f>
        <v>0</v>
      </c>
      <c r="J700" s="270">
        <f ca="1">IFERROR(__xludf.DUMMYFUNCTION("IMPORTRANGE(""https://docs.google.com/spreadsheets/d/1XWAQStnk-4SwqDmLtmXYiTMKHgktTP8We1SCoS47DrQ/edit?usp=sharing"",""จัดที่ดิน!BD72"")"),0)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IFERROR(__xludf.DUMMYFUNCTION("IMPORTRANGE(""https://docs.google.com/spreadsheets/d/1QqKyyYR6Q21VydFLVH3TRQUabQu_ym0Zz7PgGX0-kHA/edit?usp=sharing"",""แผน!IE72"")"),30)</f>
        <v>30</v>
      </c>
      <c r="J701" s="676">
        <f>J704+J707</f>
        <v>50</v>
      </c>
      <c r="K701" s="195">
        <f t="shared" ca="1" si="290"/>
        <v>166.66666666666666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8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8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IFERROR(__xludf.DUMMYFUNCTION("IMPORTRANGE(""https://docs.google.com/spreadsheets/d/1QqKyyYR6Q21VydFLVH3TRQUabQu_ym0Zz7PgGX0-kHA/edit?usp=sharing"",""แผน!IF72"")"),30)</f>
        <v>30</v>
      </c>
      <c r="J704" s="215">
        <v>50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IFERROR(__xludf.DUMMYFUNCTION("IMPORTRANGE(""https://docs.google.com/spreadsheets/d/1QqKyyYR6Q21VydFLVH3TRQUabQu_ym0Zz7PgGX0-kHA/edit?usp=sharing"",""แผน!IH72"")"),120)</f>
        <v>120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IFERROR(__xludf.DUMMYFUNCTION("IMPORTRANGE(""https://docs.google.com/spreadsheets/d/1QqKyyYR6Q21VydFLVH3TRQUabQu_ym0Zz7PgGX0-kHA/edit?usp=sharing"",""แผน!II72"")"),170)</f>
        <v>170</v>
      </c>
      <c r="J720" s="270">
        <f ca="1">IFERROR(__xludf.DUMMYFUNCTION("IMPORTRANGE(""https://docs.google.com/spreadsheets/d/1XWAQStnk-4SwqDmLtmXYiTMKHgktTP8We1SCoS47DrQ/edit?usp=sharing"",""จัดที่ดิน!BH72"")"),0)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IFERROR(__xludf.DUMMYFUNCTION("IMPORTRANGE(""https://docs.google.com/spreadsheets/d/1QqKyyYR6Q21VydFLVH3TRQUabQu_ym0Zz7PgGX0-kHA/edit?usp=sharing"",""แผน!IJ72"")"),29)</f>
        <v>29</v>
      </c>
      <c r="J721" s="676">
        <f ca="1">J723+J726</f>
        <v>6</v>
      </c>
      <c r="K721" s="195">
        <f t="shared" ca="1" si="291"/>
        <v>20.689655172413794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IFERROR(__xludf.DUMMYFUNCTION("IMPORTRANGE(""https://docs.google.com/spreadsheets/d/1QqKyyYR6Q21VydFLVH3TRQUabQu_ym0Zz7PgGX0-kHA/edit?usp=sharing"",""แผน!IK72"")"),300)</f>
        <v>300</v>
      </c>
      <c r="J722" s="676">
        <f ca="1">J725+J728</f>
        <v>99.26</v>
      </c>
      <c r="K722" s="195">
        <f t="shared" ca="1" si="291"/>
        <v>33.086666666666666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IFERROR(__xludf.DUMMYFUNCTION("IMPORTRANGE(""https://docs.google.com/spreadsheets/d/1QqKyyYR6Q21VydFLVH3TRQUabQu_ym0Zz7PgGX0-kHA/edit?usp=sharing"",""แผน!IL72"")"),20)</f>
        <v>20</v>
      </c>
      <c r="J723" s="270">
        <f ca="1">IFERROR(__xludf.DUMMYFUNCTION("IMPORTRANGE(""https://docs.google.com/spreadsheets/d/1XWAQStnk-4SwqDmLtmXYiTMKHgktTP8We1SCoS47DrQ/edit?usp=sharing"",""จัดที่ดิน!BM72"")"),6)</f>
        <v>6</v>
      </c>
      <c r="K723" s="497">
        <f t="shared" ca="1" si="291"/>
        <v>30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IFERROR(__xludf.DUMMYFUNCTION("IMPORTRANGE(""https://docs.google.com/spreadsheets/d/1XWAQStnk-4SwqDmLtmXYiTMKHgktTP8We1SCoS47DrQ/edit?usp=sharing"",""จัดที่ดิน!BN72"")"),7)</f>
        <v>7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IFERROR(__xludf.DUMMYFUNCTION("IMPORTRANGE(""https://docs.google.com/spreadsheets/d/1QqKyyYR6Q21VydFLVH3TRQUabQu_ym0Zz7PgGX0-kHA/edit?usp=sharing"",""แผน!IM72"")"),200)</f>
        <v>200</v>
      </c>
      <c r="J725" s="270">
        <f ca="1">IFERROR(__xludf.DUMMYFUNCTION("IMPORTRANGE(""https://docs.google.com/spreadsheets/d/1XWAQStnk-4SwqDmLtmXYiTMKHgktTP8We1SCoS47DrQ/edit?usp=sharing"",""จัดที่ดิน!BO72"")"),99.26)</f>
        <v>99.26</v>
      </c>
      <c r="K725" s="497">
        <f t="shared" ref="K725:K726" ca="1" si="292">IF(I725&gt;0,J725*100/I725,0)</f>
        <v>49.63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IFERROR(__xludf.DUMMYFUNCTION("IMPORTRANGE(""https://docs.google.com/spreadsheets/d/1QqKyyYR6Q21VydFLVH3TRQUabQu_ym0Zz7PgGX0-kHA/edit?usp=sharing"",""แผน!IN72"")"),9)</f>
        <v>9</v>
      </c>
      <c r="J726" s="270">
        <f ca="1">IFERROR(__xludf.DUMMYFUNCTION("IMPORTRANGE(""https://docs.google.com/spreadsheets/d/1XWAQStnk-4SwqDmLtmXYiTMKHgktTP8We1SCoS47DrQ/edit?usp=sharing"",""จัดที่ดิน!BR72"")"),0)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IFERROR(__xludf.DUMMYFUNCTION("IMPORTRANGE(""https://docs.google.com/spreadsheets/d/1QqKyyYR6Q21VydFLVH3TRQUabQu_ym0Zz7PgGX0-kHA/edit?usp=sharing"",""แผน!IO72"")"),100)</f>
        <v>100</v>
      </c>
      <c r="J728" s="270">
        <f ca="1">IFERROR(__xludf.DUMMYFUNCTION("IMPORTRANGE(""https://docs.google.com/spreadsheets/d/1XWAQStnk-4SwqDmLtmXYiTMKHgktTP8We1SCoS47DrQ/edit?usp=sharing"",""จัดที่ดิน!BT72"")"),0)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IFERROR(__xludf.DUMMYFUNCTION("IMPORTRANGE(""https://docs.google.com/spreadsheets/d/1QqKyyYR6Q21VydFLVH3TRQUabQu_ym0Zz7PgGX0-kHA/edit?usp=sharing"",""แผน!IP72"")"),20)</f>
        <v>20</v>
      </c>
      <c r="J729" s="676">
        <f>J732+J735</f>
        <v>50.24</v>
      </c>
      <c r="K729" s="195">
        <f t="shared" ca="1" si="293"/>
        <v>251.2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/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/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50.24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8">I800</f>
        <v>0</v>
      </c>
      <c r="J785" s="889">
        <f t="shared" ca="1" si="318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IFERROR(__xludf.DUMMYFUNCTION("IMPORTRANGE(""https://docs.google.com/spreadsheets/d/1QqKyyYR6Q21VydFLVH3TRQUabQu_ym0Zz7PgGX0-kHA/edit?usp=sharing"",""แผน!JN72"")"),0)</f>
        <v>0</v>
      </c>
      <c r="J800" s="184">
        <f ca="1">IFERROR(__xludf.DUMMYFUNCTION("IMPORTRANGE(""https://docs.google.com/spreadsheets/d/1MaWodYyGHDf7siQLGxnXhG4mBNTNIuy296niS2xXulU/edit?usp=sharing"",""RTK!H72"")"),0)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IFERROR(__xludf.DUMMYFUNCTION("IMPORTRANGE(""https://docs.google.com/spreadsheets/d/19vJNZY_5yjcGF2XGBMNZRCAIB0Kwfpjp8YEOfu-bneM/edit?usp=sharing"",""งานกองทุน!D72"")"),23399923)</f>
        <v>23399923</v>
      </c>
      <c r="J821" s="270">
        <f ca="1">IFERROR(__xludf.DUMMYFUNCTION("IMPORTRANGE(""https://docs.google.com/spreadsheets/d/19vJNZY_5yjcGF2XGBMNZRCAIB0Kwfpjp8YEOfu-bneM/edit?usp=sharing"",""งานกองทุน!F72"")"),17758158.22)</f>
        <v>17758158.219999999</v>
      </c>
      <c r="K821" s="497">
        <f t="shared" ref="K821:K828" ca="1" si="335">IF(I821&gt;0,J821*100/I821,0)</f>
        <v>75.889814765629779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IFERROR(__xludf.DUMMYFUNCTION("IMPORTRANGE(""https://docs.google.com/spreadsheets/d/19vJNZY_5yjcGF2XGBMNZRCAIB0Kwfpjp8YEOfu-bneM/edit?usp=sharing"",""งานกองทุน!C72"")"),576)</f>
        <v>576</v>
      </c>
      <c r="J822" s="270">
        <f ca="1">IFERROR(__xludf.DUMMYFUNCTION("IMPORTRANGE(""https://docs.google.com/spreadsheets/d/19vJNZY_5yjcGF2XGBMNZRCAIB0Kwfpjp8YEOfu-bneM/edit?usp=sharing"",""งานกองทุน!E72"")"),459)</f>
        <v>459</v>
      </c>
      <c r="K822" s="497">
        <f t="shared" ca="1" si="335"/>
        <v>79.6875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70">
        <f ca="1">IFERROR(__xludf.DUMMYFUNCTION("IMPORTRANGE(""https://docs.google.com/spreadsheets/d/19vJNZY_5yjcGF2XGBMNZRCAIB0Kwfpjp8YEOfu-bneM/edit?usp=sharing"",""งานกองทุน!K72"")"),506268.89)</f>
        <v>506268.89</v>
      </c>
      <c r="K823" s="497">
        <f t="shared" ca="1" si="335"/>
        <v>16.882927199395759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IFERROR(__xludf.DUMMYFUNCTION("IMPORTRANGE(""https://docs.google.com/spreadsheets/d/19vJNZY_5yjcGF2XGBMNZRCAIB0Kwfpjp8YEOfu-bneM/edit?usp=sharing"",""งานกองทุน!H72"")"),59)</f>
        <v>59</v>
      </c>
      <c r="J824" s="270">
        <f ca="1">IFERROR(__xludf.DUMMYFUNCTION("IMPORTRANGE(""https://docs.google.com/spreadsheets/d/19vJNZY_5yjcGF2XGBMNZRCAIB0Kwfpjp8YEOfu-bneM/edit?usp=sharing"",""งานกองทุน!J72"")"),42)</f>
        <v>42</v>
      </c>
      <c r="K824" s="497">
        <f t="shared" ca="1" si="335"/>
        <v>71.186440677966104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70">
        <f ca="1">IFERROR(__xludf.DUMMYFUNCTION("IMPORTRANGE(""https://docs.google.com/spreadsheets/d/19vJNZY_5yjcGF2XGBMNZRCAIB0Kwfpjp8YEOfu-bneM/edit?usp=sharing"",""งานกองทุน!P72"")"),681226.05)</f>
        <v>681226.05</v>
      </c>
      <c r="K825" s="497">
        <f t="shared" ca="1" si="335"/>
        <v>33.301213458711416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IFERROR(__xludf.DUMMYFUNCTION("IMPORTRANGE(""https://docs.google.com/spreadsheets/d/19vJNZY_5yjcGF2XGBMNZRCAIB0Kwfpjp8YEOfu-bneM/edit?usp=sharing"",""งานกองทุน!M72"")"),499)</f>
        <v>499</v>
      </c>
      <c r="J826" s="270">
        <f ca="1">IFERROR(__xludf.DUMMYFUNCTION("IMPORTRANGE(""https://docs.google.com/spreadsheets/d/19vJNZY_5yjcGF2XGBMNZRCAIB0Kwfpjp8YEOfu-bneM/edit?usp=sharing"",""งานกองทุน!O72"")"),233)</f>
        <v>233</v>
      </c>
      <c r="K826" s="497">
        <f t="shared" ca="1" si="335"/>
        <v>46.693386773547097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IFERROR(__xludf.DUMMYFUNCTION("IMPORTRANGE(""https://docs.google.com/spreadsheets/d/19vJNZY_5yjcGF2XGBMNZRCAIB0Kwfpjp8YEOfu-bneM/edit?usp=sharing"",""งานกองทุน!S72"")"),20000000)</f>
        <v>20000000</v>
      </c>
      <c r="J827" s="270">
        <f ca="1">IFERROR(__xludf.DUMMYFUNCTION("IMPORTRANGE(""https://docs.google.com/spreadsheets/d/19vJNZY_5yjcGF2XGBMNZRCAIB0Kwfpjp8YEOfu-bneM/edit?usp=sharing"",""งานกองทุน!U72"")"),14895000)</f>
        <v>14895000</v>
      </c>
      <c r="K827" s="497">
        <f t="shared" ca="1" si="335"/>
        <v>74.474999999999994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IFERROR(__xludf.DUMMYFUNCTION("IMPORTRANGE(""https://docs.google.com/spreadsheets/d/19vJNZY_5yjcGF2XGBMNZRCAIB0Kwfpjp8YEOfu-bneM/edit?usp=sharing"",""งานกองทุน!R72"")"),548)</f>
        <v>548</v>
      </c>
      <c r="J828" s="501">
        <f ca="1">IFERROR(__xludf.DUMMYFUNCTION("IMPORTRANGE(""https://docs.google.com/spreadsheets/d/19vJNZY_5yjcGF2XGBMNZRCAIB0Kwfpjp8YEOfu-bneM/edit?usp=sharing"",""งานกองทุน!T72"")"),357)</f>
        <v>357</v>
      </c>
      <c r="K828" s="502">
        <f t="shared" ca="1" si="335"/>
        <v>65.145985401459853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F29C-5043-441A-B5BF-55EEB0D5457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362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1990790</v>
      </c>
      <c r="M8" s="22">
        <f t="shared" ca="1" si="0"/>
        <v>2017300</v>
      </c>
      <c r="N8" s="22">
        <f t="shared" ca="1" si="0"/>
        <v>1616837.46</v>
      </c>
      <c r="O8" s="22">
        <f t="shared" ref="O8:O16" ca="1" si="1">IF(L8&gt;0,N8*100/L8,0)</f>
        <v>81.215872090978962</v>
      </c>
      <c r="P8" s="22">
        <f t="shared" ref="P8:P16" ca="1" si="2">IF(M8&gt;0,N8*100/M8,0)</f>
        <v>80.148587716254397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1990790</v>
      </c>
      <c r="M10" s="30">
        <f t="shared" ca="1" si="3"/>
        <v>2017300</v>
      </c>
      <c r="N10" s="30">
        <f t="shared" ca="1" si="3"/>
        <v>1616837.46</v>
      </c>
      <c r="O10" s="30">
        <f t="shared" ca="1" si="1"/>
        <v>81.215872090978962</v>
      </c>
      <c r="P10" s="30">
        <f t="shared" ca="1" si="2"/>
        <v>80.148587716254397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1960790</v>
      </c>
      <c r="M11" s="497">
        <f t="shared" ca="1" si="4"/>
        <v>1987300</v>
      </c>
      <c r="N11" s="497">
        <f t="shared" ca="1" si="4"/>
        <v>1586837.46</v>
      </c>
      <c r="O11" s="497">
        <f t="shared" ca="1" si="1"/>
        <v>80.928475767420281</v>
      </c>
      <c r="P11" s="497">
        <f t="shared" ca="1" si="2"/>
        <v>79.848913601368693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1960790</v>
      </c>
      <c r="M13" s="93">
        <f t="shared" ca="1" si="5"/>
        <v>1987300</v>
      </c>
      <c r="N13" s="93">
        <f t="shared" ca="1" si="5"/>
        <v>1586837.46</v>
      </c>
      <c r="O13" s="93">
        <f t="shared" ca="1" si="1"/>
        <v>80.928475767420281</v>
      </c>
      <c r="P13" s="93">
        <f t="shared" ca="1" si="2"/>
        <v>79.848913601368693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30000</v>
      </c>
      <c r="M14" s="497">
        <f t="shared" ca="1" si="6"/>
        <v>30000</v>
      </c>
      <c r="N14" s="497">
        <f t="shared" ca="1" si="6"/>
        <v>30000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30000</v>
      </c>
      <c r="M16" s="52">
        <f t="shared" ca="1" si="7"/>
        <v>30000</v>
      </c>
      <c r="N16" s="52">
        <f t="shared" ca="1" si="7"/>
        <v>30000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1739210</v>
      </c>
      <c r="M18" s="22">
        <f t="shared" ca="1" si="8"/>
        <v>1765720</v>
      </c>
      <c r="N18" s="22">
        <f t="shared" ca="1" si="8"/>
        <v>1472782.46</v>
      </c>
      <c r="O18" s="22">
        <f t="shared" ref="O18:O26" ca="1" si="9">IF(L18&gt;0,N18*100/L18,0)</f>
        <v>84.681117288884039</v>
      </c>
      <c r="P18" s="22">
        <f t="shared" ref="P18:P26" ca="1" si="10">IF(M18&gt;0,N18*100/M18,0)</f>
        <v>83.409739936116708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1739210</v>
      </c>
      <c r="M20" s="30">
        <f t="shared" ca="1" si="11"/>
        <v>1765720</v>
      </c>
      <c r="N20" s="30">
        <f t="shared" ca="1" si="11"/>
        <v>1472782.46</v>
      </c>
      <c r="O20" s="30">
        <f t="shared" ca="1" si="9"/>
        <v>84.681117288884039</v>
      </c>
      <c r="P20" s="30">
        <f t="shared" ca="1" si="10"/>
        <v>83.409739936116708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1709210</v>
      </c>
      <c r="M21" s="497">
        <f t="shared" ca="1" si="12"/>
        <v>1735720</v>
      </c>
      <c r="N21" s="497">
        <f t="shared" ca="1" si="12"/>
        <v>1442782.46</v>
      </c>
      <c r="O21" s="497">
        <f t="shared" ca="1" si="9"/>
        <v>84.412240742799298</v>
      </c>
      <c r="P21" s="497">
        <f t="shared" ca="1" si="10"/>
        <v>83.122995644458783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1709210</v>
      </c>
      <c r="M23" s="93">
        <f t="shared" ca="1" si="13"/>
        <v>1735720</v>
      </c>
      <c r="N23" s="93">
        <f t="shared" ca="1" si="13"/>
        <v>1442782.46</v>
      </c>
      <c r="O23" s="93">
        <f t="shared" ca="1" si="9"/>
        <v>84.412240742799298</v>
      </c>
      <c r="P23" s="93">
        <f t="shared" ca="1" si="10"/>
        <v>83.122995644458783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30000</v>
      </c>
      <c r="M24" s="497">
        <f t="shared" ca="1" si="14"/>
        <v>30000</v>
      </c>
      <c r="N24" s="497">
        <f t="shared" ca="1" si="14"/>
        <v>30000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30000</v>
      </c>
      <c r="M26" s="52">
        <f t="shared" ca="1" si="15"/>
        <v>30000</v>
      </c>
      <c r="N26" s="52">
        <f t="shared" ca="1" si="15"/>
        <v>30000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251580</v>
      </c>
      <c r="M28" s="22">
        <f t="shared" ca="1" si="16"/>
        <v>251580</v>
      </c>
      <c r="N28" s="22">
        <f t="shared" si="16"/>
        <v>144055</v>
      </c>
      <c r="O28" s="22">
        <f t="shared" ref="O28:O37" ca="1" si="17">IF(L28&gt;0,N28*100/L28,0)</f>
        <v>57.260116066459972</v>
      </c>
      <c r="P28" s="22">
        <f t="shared" ref="P28:P37" ca="1" si="18">IF(M28&gt;0,N28*100/M28,0)</f>
        <v>57.260116066459972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251580</v>
      </c>
      <c r="M30" s="30">
        <f t="shared" ca="1" si="19"/>
        <v>251580</v>
      </c>
      <c r="N30" s="30">
        <f t="shared" si="19"/>
        <v>144055</v>
      </c>
      <c r="O30" s="30">
        <f t="shared" ca="1" si="17"/>
        <v>57.260116066459972</v>
      </c>
      <c r="P30" s="30">
        <f t="shared" ca="1" si="18"/>
        <v>57.260116066459972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251580</v>
      </c>
      <c r="M31" s="497">
        <f t="shared" ca="1" si="20"/>
        <v>251580</v>
      </c>
      <c r="N31" s="497">
        <f t="shared" si="20"/>
        <v>144055</v>
      </c>
      <c r="O31" s="497">
        <f t="shared" ca="1" si="17"/>
        <v>57.260116066459972</v>
      </c>
      <c r="P31" s="497">
        <f t="shared" ca="1" si="18"/>
        <v>57.260116066459972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251580</v>
      </c>
      <c r="M33" s="93">
        <f t="shared" ca="1" si="21"/>
        <v>251580</v>
      </c>
      <c r="N33" s="93">
        <f t="shared" si="21"/>
        <v>144055</v>
      </c>
      <c r="O33" s="93">
        <f t="shared" ca="1" si="17"/>
        <v>57.260116066459972</v>
      </c>
      <c r="P33" s="93">
        <f t="shared" ca="1" si="18"/>
        <v>57.260116066459972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1739210</v>
      </c>
      <c r="M37" s="59">
        <f t="shared" ca="1" si="24"/>
        <v>1765720</v>
      </c>
      <c r="N37" s="59">
        <f t="shared" ca="1" si="24"/>
        <v>1472782.46</v>
      </c>
      <c r="O37" s="59">
        <f t="shared" ca="1" si="17"/>
        <v>84.681117288884039</v>
      </c>
      <c r="P37" s="59">
        <f t="shared" ca="1" si="18"/>
        <v>83.409739936116708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63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122700</v>
      </c>
      <c r="M41" s="85">
        <f t="shared" ca="1" si="25"/>
        <v>136680</v>
      </c>
      <c r="N41" s="85">
        <f t="shared" ca="1" si="25"/>
        <v>115685</v>
      </c>
      <c r="O41" s="85">
        <f t="shared" ref="O41:O49" ca="1" si="26">IF(L41&gt;0,N41*100/L41,0)</f>
        <v>94.282803585982066</v>
      </c>
      <c r="P41" s="85">
        <f t="shared" ref="P41:P49" ca="1" si="27">IF(M41&gt;0,N41*100/M41,0)</f>
        <v>84.639303482587067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122700</v>
      </c>
      <c r="M43" s="92">
        <f t="shared" ca="1" si="28"/>
        <v>136680</v>
      </c>
      <c r="N43" s="92">
        <f t="shared" ca="1" si="28"/>
        <v>115685</v>
      </c>
      <c r="O43" s="92">
        <f t="shared" ca="1" si="26"/>
        <v>94.282803585982066</v>
      </c>
      <c r="P43" s="92">
        <f t="shared" ca="1" si="27"/>
        <v>84.639303482587067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122700</v>
      </c>
      <c r="M44" s="497">
        <f t="shared" ca="1" si="29"/>
        <v>136680</v>
      </c>
      <c r="N44" s="497">
        <f t="shared" ca="1" si="29"/>
        <v>115685</v>
      </c>
      <c r="O44" s="497">
        <f t="shared" ca="1" si="26"/>
        <v>94.282803585982066</v>
      </c>
      <c r="P44" s="497">
        <f t="shared" ca="1" si="27"/>
        <v>84.639303482587067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IFERROR(__xludf.DUMMYFUNCTION("IMPORTRANGE(""https://docs.google.com/spreadsheets/d/1MeEWN-I1oV_STSDYn1IFDPWt_1FKiwhDph83XaGc0o0/edit?usp=sharing"",""งบพรบ!M73"")"),122700)</f>
        <v>122700</v>
      </c>
      <c r="M46" s="93">
        <f ca="1">IFERROR(__xludf.DUMMYFUNCTION("IMPORTRANGE(""https://docs.google.com/spreadsheets/d/1MeEWN-I1oV_STSDYn1IFDPWt_1FKiwhDph83XaGc0o0/edit?usp=sharing"",""งบพรบ!R73"")"),136680)</f>
        <v>136680</v>
      </c>
      <c r="N46" s="93">
        <f ca="1">IFERROR(__xludf.DUMMYFUNCTION("IMPORTRANGE(""https://docs.google.com/spreadsheets/d/1MeEWN-I1oV_STSDYn1IFDPWt_1FKiwhDph83XaGc0o0/edit?usp=sharing"",""งบพรบ!T73"")"),115685)</f>
        <v>115685</v>
      </c>
      <c r="O46" s="93">
        <f t="shared" ca="1" si="26"/>
        <v>94.282803585982066</v>
      </c>
      <c r="P46" s="93">
        <f t="shared" ca="1" si="27"/>
        <v>84.639303482587067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IFERROR(__xludf.DUMMYFUNCTION("IMPORTRANGE(""https://docs.google.com/spreadsheets/d/1MeEWN-I1oV_STSDYn1IFDPWt_1FKiwhDph83XaGc0o0/edit?usp=sharing"",""งบพรบ!P73"")"),0)</f>
        <v>0</v>
      </c>
      <c r="M49" s="52">
        <f ca="1">IFERROR(__xludf.DUMMYFUNCTION("IMPORTRANGE(""https://docs.google.com/spreadsheets/d/1MeEWN-I1oV_STSDYn1IFDPWt_1FKiwhDph83XaGc0o0/edit?usp=sharing"",""งบพรบ!S73"")"),0)</f>
        <v>0</v>
      </c>
      <c r="N49" s="52">
        <f ca="1">IFERROR(__xludf.DUMMYFUNCTION("IMPORTRANGE(""https://docs.google.com/spreadsheets/d/1MeEWN-I1oV_STSDYn1IFDPWt_1FKiwhDph83XaGc0o0/edit?usp=sharing"",""งบพรบ!U73"")"),0)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4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839900</v>
      </c>
      <c r="M53" s="116">
        <f t="shared" ca="1" si="31"/>
        <v>839900</v>
      </c>
      <c r="N53" s="116">
        <f t="shared" ca="1" si="31"/>
        <v>779075.66</v>
      </c>
      <c r="O53" s="116">
        <f t="shared" ref="O53:O61" ca="1" si="32">IF(L53&gt;0,N53*100/L53,0)</f>
        <v>92.758145017263956</v>
      </c>
      <c r="P53" s="116">
        <f t="shared" ref="P53:P61" ca="1" si="33">IF(M53&gt;0,N53*100/M53,0)</f>
        <v>92.758145017263956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839900</v>
      </c>
      <c r="M55" s="123">
        <f t="shared" ca="1" si="34"/>
        <v>839900</v>
      </c>
      <c r="N55" s="123">
        <f t="shared" ca="1" si="34"/>
        <v>779075.66</v>
      </c>
      <c r="O55" s="123">
        <f t="shared" ca="1" si="32"/>
        <v>92.758145017263956</v>
      </c>
      <c r="P55" s="123">
        <f t="shared" ca="1" si="33"/>
        <v>92.758145017263956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839900</v>
      </c>
      <c r="M56" s="497">
        <f t="shared" ca="1" si="35"/>
        <v>839900</v>
      </c>
      <c r="N56" s="497">
        <f t="shared" ca="1" si="35"/>
        <v>779075.66</v>
      </c>
      <c r="O56" s="497">
        <f t="shared" ca="1" si="32"/>
        <v>92.758145017263956</v>
      </c>
      <c r="P56" s="497">
        <f t="shared" ca="1" si="33"/>
        <v>92.758145017263956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IFERROR(__xludf.DUMMYFUNCTION("IMPORTRANGE(""https://docs.google.com/spreadsheets/d/1MeEWN-I1oV_STSDYn1IFDPWt_1FKiwhDph83XaGc0o0/edit?usp=sharing"",""งบพรบ!W73"")"),839900)</f>
        <v>839900</v>
      </c>
      <c r="M58" s="93">
        <f ca="1">IFERROR(__xludf.DUMMYFUNCTION("IMPORTRANGE(""https://docs.google.com/spreadsheets/d/1MeEWN-I1oV_STSDYn1IFDPWt_1FKiwhDph83XaGc0o0/edit?usp=sharing"",""งบพรบ!AB73"")"),839900)</f>
        <v>839900</v>
      </c>
      <c r="N58" s="93">
        <f ca="1">IFERROR(__xludf.DUMMYFUNCTION("IMPORTRANGE(""https://docs.google.com/spreadsheets/d/1MeEWN-I1oV_STSDYn1IFDPWt_1FKiwhDph83XaGc0o0/edit?usp=sharing"",""งบพรบ!AD73"")"),779075.66)</f>
        <v>779075.66</v>
      </c>
      <c r="O58" s="93">
        <f t="shared" ca="1" si="32"/>
        <v>92.758145017263956</v>
      </c>
      <c r="P58" s="93">
        <f t="shared" ca="1" si="33"/>
        <v>92.758145017263956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IFERROR(__xludf.DUMMYFUNCTION("IMPORTRANGE(""https://docs.google.com/spreadsheets/d/1MeEWN-I1oV_STSDYn1IFDPWt_1FKiwhDph83XaGc0o0/edit?usp=sharing"",""งบพรบ!Z73"")"),0)</f>
        <v>0</v>
      </c>
      <c r="M61" s="52">
        <f ca="1">IFERROR(__xludf.DUMMYFUNCTION("IMPORTRANGE(""https://docs.google.com/spreadsheets/d/1MeEWN-I1oV_STSDYn1IFDPWt_1FKiwhDph83XaGc0o0/edit?usp=sharing"",""งบพรบ!AC73"")"),0)</f>
        <v>0</v>
      </c>
      <c r="N61" s="52">
        <f ca="1">IFERROR(__xludf.DUMMYFUNCTION("IMPORTRANGE(""https://docs.google.com/spreadsheets/d/1MeEWN-I1oV_STSDYn1IFDPWt_1FKiwhDph83XaGc0o0/edit?usp=sharing"",""งบพรบ!AE73"")"),0)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65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IFERROR(__xludf.DUMMYFUNCTION("IMPORTRANGE(""https://docs.google.com/spreadsheets/d/1MeEWN-I1oV_STSDYn1IFDPWt_1FKiwhDph83XaGc0o0/edit?usp=sharing"",""งบพรบ!AG73"")"),0)</f>
        <v>0</v>
      </c>
      <c r="M71" s="93">
        <f ca="1">IFERROR(__xludf.DUMMYFUNCTION("IMPORTRANGE(""https://docs.google.com/spreadsheets/d/1MeEWN-I1oV_STSDYn1IFDPWt_1FKiwhDph83XaGc0o0/edit?usp=sharing"",""งบพรบ!AL73"")"),0)</f>
        <v>0</v>
      </c>
      <c r="N71" s="93">
        <f ca="1">IFERROR(__xludf.DUMMYFUNCTION("IMPORTRANGE(""https://docs.google.com/spreadsheets/d/1MeEWN-I1oV_STSDYn1IFDPWt_1FKiwhDph83XaGc0o0/edit?usp=sharing"",""งบพรบ!AN73"")"),0)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IFERROR(__xludf.DUMMYFUNCTION("IMPORTRANGE(""https://docs.google.com/spreadsheets/d/1MeEWN-I1oV_STSDYn1IFDPWt_1FKiwhDph83XaGc0o0/edit?usp=sharing"",""งบพรบ!AJ73"")"),0)</f>
        <v>0</v>
      </c>
      <c r="M74" s="93">
        <f ca="1">IFERROR(__xludf.DUMMYFUNCTION("IMPORTRANGE(""https://docs.google.com/spreadsheets/d/1MeEWN-I1oV_STSDYn1IFDPWt_1FKiwhDph83XaGc0o0/edit?usp=sharing"",""งบพรบ!AM73"")"),0)</f>
        <v>0</v>
      </c>
      <c r="N74" s="93">
        <f ca="1">IFERROR(__xludf.DUMMYFUNCTION("IMPORTRANGE(""https://docs.google.com/spreadsheets/d/1MeEWN-I1oV_STSDYn1IFDPWt_1FKiwhDph83XaGc0o0/edit?usp=sharing"",""งบพรบ!AO73"")"),0)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66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65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174500</v>
      </c>
      <c r="N88" s="155">
        <f t="shared" ca="1" si="49"/>
        <v>169702.8</v>
      </c>
      <c r="O88" s="155">
        <f t="shared" ref="O88:O96" ca="1" si="50">IF(L88&gt;0,N88*100/L88,0)</f>
        <v>97.250888252148997</v>
      </c>
      <c r="P88" s="155">
        <f t="shared" ref="P88:P96" ca="1" si="51">IF(M88&gt;0,N88*100/M88,0)</f>
        <v>97.250888252148997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174500</v>
      </c>
      <c r="N90" s="93">
        <f t="shared" ca="1" si="52"/>
        <v>169702.8</v>
      </c>
      <c r="O90" s="93">
        <f t="shared" ca="1" si="50"/>
        <v>97.250888252148997</v>
      </c>
      <c r="P90" s="93">
        <f t="shared" ca="1" si="51"/>
        <v>97.250888252148997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174500</v>
      </c>
      <c r="N91" s="497">
        <f t="shared" ca="1" si="53"/>
        <v>169702.8</v>
      </c>
      <c r="O91" s="497">
        <f t="shared" ca="1" si="50"/>
        <v>97.250888252148997</v>
      </c>
      <c r="P91" s="497">
        <f t="shared" ca="1" si="51"/>
        <v>97.250888252148997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IFERROR(__xludf.DUMMYFUNCTION("IMPORTRANGE(""https://docs.google.com/spreadsheets/d/1MeEWN-I1oV_STSDYn1IFDPWt_1FKiwhDph83XaGc0o0/edit?usp=sharing"",""งบพรบ!AQ73"")"),174500)</f>
        <v>174500</v>
      </c>
      <c r="M93" s="93">
        <f ca="1">IFERROR(__xludf.DUMMYFUNCTION("IMPORTRANGE(""https://docs.google.com/spreadsheets/d/1MeEWN-I1oV_STSDYn1IFDPWt_1FKiwhDph83XaGc0o0/edit?usp=sharing"",""งบพรบ!AV73"")"),174500)</f>
        <v>174500</v>
      </c>
      <c r="N93" s="93">
        <f ca="1">IFERROR(__xludf.DUMMYFUNCTION("IMPORTRANGE(""https://docs.google.com/spreadsheets/d/1MeEWN-I1oV_STSDYn1IFDPWt_1FKiwhDph83XaGc0o0/edit?usp=sharing"",""งบพรบ!AX73"")"),169702.8)</f>
        <v>169702.8</v>
      </c>
      <c r="O93" s="93">
        <f t="shared" ca="1" si="50"/>
        <v>97.250888252148997</v>
      </c>
      <c r="P93" s="93">
        <f t="shared" ca="1" si="51"/>
        <v>97.250888252148997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IFERROR(__xludf.DUMMYFUNCTION("IMPORTRANGE(""https://docs.google.com/spreadsheets/d/1MeEWN-I1oV_STSDYn1IFDPWt_1FKiwhDph83XaGc0o0/edit?usp=sharing"",""งบพรบ!AT73"")"),0)</f>
        <v>0</v>
      </c>
      <c r="M96" s="93">
        <f ca="1">IFERROR(__xludf.DUMMYFUNCTION("IMPORTRANGE(""https://docs.google.com/spreadsheets/d/1MeEWN-I1oV_STSDYn1IFDPWt_1FKiwhDph83XaGc0o0/edit?usp=sharing"",""งบพรบ!AW73"")"),0)</f>
        <v>0</v>
      </c>
      <c r="N96" s="93">
        <f ca="1">IFERROR(__xludf.DUMMYFUNCTION("IMPORTRANGE(""https://docs.google.com/spreadsheets/d/1MeEWN-I1oV_STSDYn1IFDPWt_1FKiwhDph83XaGc0o0/edit?usp=sharing"",""งบพรบ!AY73"")"),0)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66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IFERROR(__xludf.DUMMYFUNCTION("IMPORTRANGE(""https://docs.google.com/spreadsheets/d/1QqKyyYR6Q21VydFLVH3TRQUabQu_ym0Zz7PgGX0-kHA/edit?usp=sharing"",""แผน!K73"")"),0)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IFERROR(__xludf.DUMMYFUNCTION("IMPORTRANGE(""https://docs.google.com/spreadsheets/d/1QqKyyYR6Q21VydFLVH3TRQUabQu_ym0Zz7PgGX0-kHA/edit?usp=sharing"",""แผน!L73"")"),0)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IFERROR(__xludf.DUMMYFUNCTION("IMPORTRANGE(""https://docs.google.com/spreadsheets/d/1QqKyyYR6Q21VydFLVH3TRQUabQu_ym0Zz7PgGX0-kHA/edit?usp=sharing"",""แผน!N73"")"),0)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IFERROR(__xludf.DUMMYFUNCTION("IMPORTRANGE(""https://docs.google.com/spreadsheets/d/1QqKyyYR6Q21VydFLVH3TRQUabQu_ym0Zz7PgGX0-kHA/edit?usp=sharing"",""แผน!O73"")"),0)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IFERROR(__xludf.DUMMYFUNCTION("IMPORTRANGE(""https://docs.google.com/spreadsheets/d/1QqKyyYR6Q21VydFLVH3TRQUabQu_ym0Zz7PgGX0-kHA/edit?usp=sharing"",""แผน!O73"")"),0)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IFERROR(__xludf.DUMMYFUNCTION("IMPORTRANGE(""https://docs.google.com/spreadsheets/d/1QqKyyYR6Q21VydFLVH3TRQUabQu_ym0Zz7PgGX0-kHA/edit?usp=sharing"",""แผน!P73"")"),0)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IFERROR(__xludf.DUMMYFUNCTION("IMPORTRANGE(""https://docs.google.com/spreadsheets/d/1QqKyyYR6Q21VydFLVH3TRQUabQu_ym0Zz7PgGX0-kHA/edit?usp=sharing"",""แผน!P73"")"),0)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IFERROR(__xludf.DUMMYFUNCTION("IMPORTRANGE(""https://docs.google.com/spreadsheets/d/1QqKyyYR6Q21VydFLVH3TRQUabQu_ym0Zz7PgGX0-kHA/edit?usp=sharing"",""แผน!R73"")"),0)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IFERROR(__xludf.DUMMYFUNCTION("IMPORTRANGE(""https://docs.google.com/spreadsheets/d/1QqKyyYR6Q21VydFLVH3TRQUabQu_ym0Zz7PgGX0-kHA/edit?usp=sharing"",""แผน!R73"")"),0)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IFERROR(__xludf.DUMMYFUNCTION("IMPORTRANGE(""https://docs.google.com/spreadsheets/d/1QqKyyYR6Q21VydFLVH3TRQUabQu_ym0Zz7PgGX0-kHA/edit?usp=sharing"",""แผน!R73"")"),0)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IFERROR(__xludf.DUMMYFUNCTION("IMPORTRANGE(""https://docs.google.com/spreadsheets/d/1QqKyyYR6Q21VydFLVH3TRQUabQu_ym0Zz7PgGX0-kHA/edit?usp=sharing"",""แผน!S73"")"),0)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65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IFERROR(__xludf.DUMMYFUNCTION("IMPORTRANGE(""https://docs.google.com/spreadsheets/d/1MeEWN-I1oV_STSDYn1IFDPWt_1FKiwhDph83XaGc0o0/edit?usp=sharing"",""งบพรบ!BA73"")"),0)</f>
        <v>0</v>
      </c>
      <c r="M124" s="93">
        <f ca="1">IFERROR(__xludf.DUMMYFUNCTION("IMPORTRANGE(""https://docs.google.com/spreadsheets/d/1MeEWN-I1oV_STSDYn1IFDPWt_1FKiwhDph83XaGc0o0/edit?usp=sharing"",""งบพรบ!BF73"")"),0)</f>
        <v>0</v>
      </c>
      <c r="N124" s="93">
        <f ca="1">IFERROR(__xludf.DUMMYFUNCTION("IMPORTRANGE(""https://docs.google.com/spreadsheets/d/1MeEWN-I1oV_STSDYn1IFDPWt_1FKiwhDph83XaGc0o0/edit?usp=sharing"",""งบพรบ!BH73"")"),0)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IFERROR(__xludf.DUMMYFUNCTION("IMPORTRANGE(""https://docs.google.com/spreadsheets/d/1MeEWN-I1oV_STSDYn1IFDPWt_1FKiwhDph83XaGc0o0/edit?usp=sharing"",""งบพรบ!BD73"")"),0)</f>
        <v>0</v>
      </c>
      <c r="M127" s="93">
        <f ca="1">IFERROR(__xludf.DUMMYFUNCTION("IMPORTRANGE(""https://docs.google.com/spreadsheets/d/1MeEWN-I1oV_STSDYn1IFDPWt_1FKiwhDph83XaGc0o0/edit?usp=sharing"",""งบพรบ!BG73"")"),0)</f>
        <v>0</v>
      </c>
      <c r="N127" s="93">
        <f ca="1">IFERROR(__xludf.DUMMYFUNCTION("IMPORTRANGE(""https://docs.google.com/spreadsheets/d/1MeEWN-I1oV_STSDYn1IFDPWt_1FKiwhDph83XaGc0o0/edit?usp=sharing"",""งบพรบ!BI73"")"),0)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65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IFERROR(__xludf.DUMMYFUNCTION("IMPORTRANGE(""https://docs.google.com/spreadsheets/d/1MeEWN-I1oV_STSDYn1IFDPWt_1FKiwhDph83XaGc0o0/edit?usp=sharing"",""งบพรบ!BK73"")"),0)</f>
        <v>0</v>
      </c>
      <c r="M137" s="93">
        <f ca="1">IFERROR(__xludf.DUMMYFUNCTION("IMPORTRANGE(""https://docs.google.com/spreadsheets/d/1MeEWN-I1oV_STSDYn1IFDPWt_1FKiwhDph83XaGc0o0/edit?usp=sharing"",""งบพรบ!BP73"")"),0)</f>
        <v>0</v>
      </c>
      <c r="N137" s="93">
        <f ca="1">IFERROR(__xludf.DUMMYFUNCTION("IMPORTRANGE(""https://docs.google.com/spreadsheets/d/1MeEWN-I1oV_STSDYn1IFDPWt_1FKiwhDph83XaGc0o0/edit?usp=sharing"",""งบพรบ!BR73"")"),0)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IFERROR(__xludf.DUMMYFUNCTION("IMPORTRANGE(""https://docs.google.com/spreadsheets/d/1MeEWN-I1oV_STSDYn1IFDPWt_1FKiwhDph83XaGc0o0/edit?usp=sharing"",""งบพรบ!BN73"")"),0)</f>
        <v>0</v>
      </c>
      <c r="M140" s="93">
        <f ca="1">IFERROR(__xludf.DUMMYFUNCTION("IMPORTRANGE(""https://docs.google.com/spreadsheets/d/1MeEWN-I1oV_STSDYn1IFDPWt_1FKiwhDph83XaGc0o0/edit?usp=sharing"",""งบพรบ!BQ73"")"),0)</f>
        <v>0</v>
      </c>
      <c r="N140" s="93">
        <f ca="1">IFERROR(__xludf.DUMMYFUNCTION("IMPORTRANGE(""https://docs.google.com/spreadsheets/d/1MeEWN-I1oV_STSDYn1IFDPWt_1FKiwhDph83XaGc0o0/edit?usp=sharing"",""งบพรบ!BS73"")"),0)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66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7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65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IFERROR(__xludf.DUMMYFUNCTION("IMPORTRANGE(""https://docs.google.com/spreadsheets/d/1MeEWN-I1oV_STSDYn1IFDPWt_1FKiwhDph83XaGc0o0/edit?usp=sharing"",""งบพรบ!BU73"")"),0)</f>
        <v>0</v>
      </c>
      <c r="M154" s="93">
        <f ca="1">IFERROR(__xludf.DUMMYFUNCTION("IMPORTRANGE(""https://docs.google.com/spreadsheets/d/1MeEWN-I1oV_STSDYn1IFDPWt_1FKiwhDph83XaGc0o0/edit?usp=sharing"",""งบพรบ!BZ73"")"),0)</f>
        <v>0</v>
      </c>
      <c r="N154" s="93">
        <f ca="1">IFERROR(__xludf.DUMMYFUNCTION("IMPORTRANGE(""https://docs.google.com/spreadsheets/d/1MeEWN-I1oV_STSDYn1IFDPWt_1FKiwhDph83XaGc0o0/edit?usp=sharing"",""งบพรบ!CB73"")"),0)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IFERROR(__xludf.DUMMYFUNCTION("IMPORTRANGE(""https://docs.google.com/spreadsheets/d/1MeEWN-I1oV_STSDYn1IFDPWt_1FKiwhDph83XaGc0o0/edit?usp=sharing"",""งบพรบ!BX73"")"),0)</f>
        <v>0</v>
      </c>
      <c r="M157" s="93">
        <f ca="1">IFERROR(__xludf.DUMMYFUNCTION("IMPORTRANGE(""https://docs.google.com/spreadsheets/d/1MeEWN-I1oV_STSDYn1IFDPWt_1FKiwhDph83XaGc0o0/edit?usp=sharing"",""งบพรบ!CA73"")"),0)</f>
        <v>0</v>
      </c>
      <c r="N157" s="93">
        <f ca="1">IFERROR(__xludf.DUMMYFUNCTION("IMPORTRANGE(""https://docs.google.com/spreadsheets/d/1MeEWN-I1oV_STSDYn1IFDPWt_1FKiwhDph83XaGc0o0/edit?usp=sharing"",""งบพรบ!CC73"")"),0)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66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8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95">
        <f t="shared" ref="I164:J164" ca="1" si="83">I174+I177</f>
        <v>0</v>
      </c>
      <c r="J164" s="895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65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IFERROR(__xludf.DUMMYFUNCTION("IMPORTRANGE(""https://docs.google.com/spreadsheets/d/1MeEWN-I1oV_STSDYn1IFDPWt_1FKiwhDph83XaGc0o0/edit?usp=sharing"",""งบพรบ!CE73"")"),0)</f>
        <v>0</v>
      </c>
      <c r="M170" s="93">
        <f ca="1">IFERROR(__xludf.DUMMYFUNCTION("IMPORTRANGE(""https://docs.google.com/spreadsheets/d/1MeEWN-I1oV_STSDYn1IFDPWt_1FKiwhDph83XaGc0o0/edit?usp=sharing"",""งบพรบ!CJ73"")"),0)</f>
        <v>0</v>
      </c>
      <c r="N170" s="93">
        <f ca="1">IFERROR(__xludf.DUMMYFUNCTION("IMPORTRANGE(""https://docs.google.com/spreadsheets/d/1MeEWN-I1oV_STSDYn1IFDPWt_1FKiwhDph83XaGc0o0/edit?usp=sharing"",""งบพรบ!CL73"")"),0)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IFERROR(__xludf.DUMMYFUNCTION("IMPORTRANGE(""https://docs.google.com/spreadsheets/d/1MeEWN-I1oV_STSDYn1IFDPWt_1FKiwhDph83XaGc0o0/edit?usp=sharing"",""งบพรบ!CH73"")"),0)</f>
        <v>0</v>
      </c>
      <c r="M173" s="93">
        <f ca="1">IFERROR(__xludf.DUMMYFUNCTION("IMPORTRANGE(""https://docs.google.com/spreadsheets/d/1MeEWN-I1oV_STSDYn1IFDPWt_1FKiwhDph83XaGc0o0/edit?usp=sharing"",""งบพรบ!CK73"")"),0)</f>
        <v>0</v>
      </c>
      <c r="N173" s="93">
        <f ca="1">IFERROR(__xludf.DUMMYFUNCTION("IMPORTRANGE(""https://docs.google.com/spreadsheets/d/1MeEWN-I1oV_STSDYn1IFDPWt_1FKiwhDph83XaGc0o0/edit?usp=sharing"",""งบพรบ!CM73"")"),0)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66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IFERROR(__xludf.DUMMYFUNCTION("IMPORTRANGE(""https://docs.google.com/spreadsheets/d/1QqKyyYR6Q21VydFLVH3TRQUabQu_ym0Zz7PgGX0-kHA/edit?usp=sharing"",""แผน!Y73"")"),0)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65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11900</v>
      </c>
      <c r="M181" s="155">
        <f t="shared" ca="1" si="92"/>
        <v>21930</v>
      </c>
      <c r="N181" s="155">
        <f t="shared" ca="1" si="92"/>
        <v>13110</v>
      </c>
      <c r="O181" s="155">
        <f t="shared" ref="O181:O189" ca="1" si="93">IF(L181&gt;0,N181*100/L181,0)</f>
        <v>110.16806722689076</v>
      </c>
      <c r="P181" s="155">
        <f t="shared" ref="P181:P189" ca="1" si="94">IF(M181&gt;0,N181*100/M181,0)</f>
        <v>59.781121751025992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11900</v>
      </c>
      <c r="M183" s="93">
        <f t="shared" ca="1" si="95"/>
        <v>21930</v>
      </c>
      <c r="N183" s="93">
        <f t="shared" ca="1" si="95"/>
        <v>13110</v>
      </c>
      <c r="O183" s="93">
        <f t="shared" ca="1" si="93"/>
        <v>110.16806722689076</v>
      </c>
      <c r="P183" s="93">
        <f t="shared" ca="1" si="94"/>
        <v>59.781121751025992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11900</v>
      </c>
      <c r="M184" s="497">
        <f t="shared" ca="1" si="96"/>
        <v>21930</v>
      </c>
      <c r="N184" s="497">
        <f t="shared" ca="1" si="96"/>
        <v>13110</v>
      </c>
      <c r="O184" s="497">
        <f t="shared" ca="1" si="93"/>
        <v>110.16806722689076</v>
      </c>
      <c r="P184" s="497">
        <f t="shared" ca="1" si="94"/>
        <v>59.781121751025992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IFERROR(__xludf.DUMMYFUNCTION("IMPORTRANGE(""https://docs.google.com/spreadsheets/d/1MeEWN-I1oV_STSDYn1IFDPWt_1FKiwhDph83XaGc0o0/edit?usp=sharing"",""งบพรบ!CO73"")"),11900)</f>
        <v>11900</v>
      </c>
      <c r="M186" s="93">
        <f ca="1">IFERROR(__xludf.DUMMYFUNCTION("IMPORTRANGE(""https://docs.google.com/spreadsheets/d/1MeEWN-I1oV_STSDYn1IFDPWt_1FKiwhDph83XaGc0o0/edit?usp=sharing"",""งบพรบ!CT73"")"),21930)</f>
        <v>21930</v>
      </c>
      <c r="N186" s="93">
        <f ca="1">IFERROR(__xludf.DUMMYFUNCTION("IMPORTRANGE(""https://docs.google.com/spreadsheets/d/1MeEWN-I1oV_STSDYn1IFDPWt_1FKiwhDph83XaGc0o0/edit?usp=sharing"",""งบพรบ!CV73"")"),13110)</f>
        <v>13110</v>
      </c>
      <c r="O186" s="93">
        <f t="shared" ca="1" si="93"/>
        <v>110.16806722689076</v>
      </c>
      <c r="P186" s="93">
        <f t="shared" ca="1" si="94"/>
        <v>59.781121751025992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IFERROR(__xludf.DUMMYFUNCTION("IMPORTRANGE(""https://docs.google.com/spreadsheets/d/1MeEWN-I1oV_STSDYn1IFDPWt_1FKiwhDph83XaGc0o0/edit?usp=sharing"",""งบพรบ!CR73"")"),0)</f>
        <v>0</v>
      </c>
      <c r="M189" s="93">
        <f ca="1">IFERROR(__xludf.DUMMYFUNCTION("IMPORTRANGE(""https://docs.google.com/spreadsheets/d/1MeEWN-I1oV_STSDYn1IFDPWt_1FKiwhDph83XaGc0o0/edit?usp=sharing"",""งบพรบ!CU73"")"),0)</f>
        <v>0</v>
      </c>
      <c r="N189" s="93">
        <f ca="1">IFERROR(__xludf.DUMMYFUNCTION("IMPORTRANGE(""https://docs.google.com/spreadsheets/d/1MeEWN-I1oV_STSDYn1IFDPWt_1FKiwhDph83XaGc0o0/edit?usp=sharing"",""งบพรบ!CW73"")"),0)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9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IFERROR(__xludf.DUMMYFUNCTION("IMPORTRANGE(""https://docs.google.com/spreadsheets/d/1QqKyyYR6Q21VydFLVH3TRQUabQu_ym0Zz7PgGX0-kHA/edit?usp=sharing"",""แผน!Z73"")"),6000)</f>
        <v>6000</v>
      </c>
      <c r="M191" s="155"/>
      <c r="N191" s="276">
        <v>2080</v>
      </c>
      <c r="O191" s="155">
        <f ca="1">IF(L191&gt;0,N191*100/L191,0)</f>
        <v>34.666666666666664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66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9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IFERROR(__xludf.DUMMYFUNCTION("IMPORTRANGE(""https://docs.google.com/spreadsheets/d/1QqKyyYR6Q21VydFLVH3TRQUabQu_ym0Zz7PgGX0-kHA/edit?usp=sharing"",""แผน!AE73"")"),0)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IFERROR(__xludf.DUMMYFUNCTION("IMPORTRANGE(""https://docs.google.com/spreadsheets/d/1QqKyyYR6Q21VydFLVH3TRQUabQu_ym0Zz7PgGX0-kHA/edit?usp=sharing"",""แผน!AF73"")"),0)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IFERROR(__xludf.DUMMYFUNCTION("IMPORTRANGE(""https://docs.google.com/spreadsheets/d/1QqKyyYR6Q21VydFLVH3TRQUabQu_ym0Zz7PgGX0-kHA/edit?usp=sharing"",""แผน!AG73"")"),0)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66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IFERROR(__xludf.DUMMYFUNCTION("IMPORTRANGE(""https://docs.google.com/spreadsheets/d/1QqKyyYR6Q21VydFLVH3TRQUabQu_ym0Zz7PgGX0-kHA/edit?usp=sharing"",""แผน!AI73"")"),0)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345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9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66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IFERROR(__xludf.DUMMYFUNCTION("IMPORTRANGE(""https://docs.google.com/spreadsheets/d/1QqKyyYR6Q21VydFLVH3TRQUabQu_ym0Zz7PgGX0-kHA/edit?usp=sharing"",""แผน!AN73"")"),0)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IFERROR(__xludf.DUMMYFUNCTION("IMPORTRANGE(""https://docs.google.com/spreadsheets/d/1QqKyyYR6Q21VydFLVH3TRQUabQu_ym0Zz7PgGX0-kHA/edit?usp=sharing"",""แผน!AN73"")"),0)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9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IFERROR(__xludf.DUMMYFUNCTION("IMPORTRANGE(""https://docs.google.com/spreadsheets/d/1QqKyyYR6Q21VydFLVH3TRQUabQu_ym0Zz7PgGX0-kHA/edit?usp=sharing"",""แผน!AQ73"")"),2900)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66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IFERROR(__xludf.DUMMYFUNCTION("IMPORTRANGE(""https://docs.google.com/spreadsheets/d/1QqKyyYR6Q21VydFLVH3TRQUabQu_ym0Zz7PgGX0-kHA/edit?usp=sharing"",""แผน!AT73"")"),5000)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IFERROR(__xludf.DUMMYFUNCTION("IMPORTRANGE(""https://docs.google.com/spreadsheets/d/1QqKyyYR6Q21VydFLVH3TRQUabQu_ym0Zz7PgGX0-kHA/edit?usp=sharing"",""แผน!AT73"")"),5000)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IFERROR(__xludf.DUMMYFUNCTION("IMPORTRANGE(""https://docs.google.com/spreadsheets/d/1QqKyyYR6Q21VydFLVH3TRQUabQu_ym0Zz7PgGX0-kHA/edit?usp=sharing"",""แผน!AS73"")"),0)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0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71"/>
      <c r="P227" s="87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65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IFERROR(__xludf.DUMMYFUNCTION("IMPORTRANGE(""https://docs.google.com/spreadsheets/d/1QqKyyYR6Q21VydFLVH3TRQUabQu_ym0Zz7PgGX0-kHA/edit?usp=sharing"",""แผน!AV73"")"),0)</f>
        <v>0</v>
      </c>
      <c r="M239" s="283"/>
      <c r="N239" s="872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IFERROR(__xludf.DUMMYFUNCTION("IMPORTRANGE(""https://docs.google.com/spreadsheets/d/1QqKyyYR6Q21VydFLVH3TRQUabQu_ym0Zz7PgGX0-kHA/edit?usp=sharing"",""แผน!AW73"")"),0)</f>
        <v>0</v>
      </c>
      <c r="M240" s="283"/>
      <c r="N240" s="872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IFERROR(__xludf.DUMMYFUNCTION("IMPORTRANGE(""https://docs.google.com/spreadsheets/d/1QqKyyYR6Q21VydFLVH3TRQUabQu_ym0Zz7PgGX0-kHA/edit?usp=sharing"",""แผน!AX73"")"),0)</f>
        <v>0</v>
      </c>
      <c r="M241" s="283"/>
      <c r="N241" s="872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IFERROR(__xludf.DUMMYFUNCTION("IMPORTRANGE(""https://docs.google.com/spreadsheets/d/1QqKyyYR6Q21VydFLVH3TRQUabQu_ym0Zz7PgGX0-kHA/edit?usp=sharing"",""แผน!AY73"")"),0)</f>
        <v>0</v>
      </c>
      <c r="M242" s="283"/>
      <c r="N242" s="872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66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73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9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IFERROR(__xludf.DUMMYFUNCTION("IMPORTRANGE(""https://docs.google.com/spreadsheets/d/1QqKyyYR6Q21VydFLVH3TRQUabQu_ym0Zz7PgGX0-kHA/edit?usp=sharing"",""แผน!AZ73"")"),0)</f>
        <v>0</v>
      </c>
      <c r="M250" s="283"/>
      <c r="N250" s="872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IFERROR(__xludf.DUMMYFUNCTION("IMPORTRANGE(""https://docs.google.com/spreadsheets/d/1QqKyyYR6Q21VydFLVH3TRQUabQu_ym0Zz7PgGX0-kHA/edit?usp=sharing"",""แผน!BA73"")"),0)</f>
        <v>0</v>
      </c>
      <c r="M251" s="283"/>
      <c r="N251" s="872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IFERROR(__xludf.DUMMYFUNCTION("IMPORTRANGE(""https://docs.google.com/spreadsheets/d/1QqKyyYR6Q21VydFLVH3TRQUabQu_ym0Zz7PgGX0-kHA/edit?usp=sharing"",""แผน!BB73"")"),0)</f>
        <v>0</v>
      </c>
      <c r="M252" s="283"/>
      <c r="N252" s="872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IFERROR(__xludf.DUMMYFUNCTION("IMPORTRANGE(""https://docs.google.com/spreadsheets/d/1QqKyyYR6Q21VydFLVH3TRQUabQu_ym0Zz7PgGX0-kHA/edit?usp=sharing"",""แผน!BC73"")"),0)</f>
        <v>0</v>
      </c>
      <c r="M253" s="283"/>
      <c r="N253" s="872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66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73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65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158500</v>
      </c>
      <c r="N261" s="155">
        <f t="shared" ca="1" si="115"/>
        <v>105877</v>
      </c>
      <c r="O261" s="155">
        <f t="shared" ref="O261:O269" ca="1" si="116">IF(L261&gt;0,N261*100/L261,0)</f>
        <v>66.799369085173495</v>
      </c>
      <c r="P261" s="155">
        <f t="shared" ref="P261:P269" ca="1" si="117">IF(M261&gt;0,N261*100/M261,0)</f>
        <v>66.799369085173495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158500</v>
      </c>
      <c r="N263" s="93">
        <f t="shared" ca="1" si="118"/>
        <v>105877</v>
      </c>
      <c r="O263" s="93">
        <f t="shared" ca="1" si="116"/>
        <v>66.799369085173495</v>
      </c>
      <c r="P263" s="93">
        <f t="shared" ca="1" si="117"/>
        <v>66.799369085173495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158500</v>
      </c>
      <c r="N264" s="497">
        <f t="shared" ca="1" si="119"/>
        <v>105877</v>
      </c>
      <c r="O264" s="497">
        <f t="shared" ca="1" si="116"/>
        <v>66.799369085173495</v>
      </c>
      <c r="P264" s="497">
        <f t="shared" ca="1" si="117"/>
        <v>66.799369085173495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IFERROR(__xludf.DUMMYFUNCTION("IMPORTRANGE(""https://docs.google.com/spreadsheets/d/1MeEWN-I1oV_STSDYn1IFDPWt_1FKiwhDph83XaGc0o0/edit?usp=sharing"",""งบพรบ!CY73"")"),158500)</f>
        <v>158500</v>
      </c>
      <c r="M266" s="93">
        <f ca="1">IFERROR(__xludf.DUMMYFUNCTION("IMPORTRANGE(""https://docs.google.com/spreadsheets/d/1MeEWN-I1oV_STSDYn1IFDPWt_1FKiwhDph83XaGc0o0/edit?usp=sharing"",""งบพรบ!DD73"")"),158500)</f>
        <v>158500</v>
      </c>
      <c r="N266" s="93">
        <f ca="1">IFERROR(__xludf.DUMMYFUNCTION("IMPORTRANGE(""https://docs.google.com/spreadsheets/d/1MeEWN-I1oV_STSDYn1IFDPWt_1FKiwhDph83XaGc0o0/edit?usp=sharing"",""งบพรบ!DF73"")"),105877)</f>
        <v>105877</v>
      </c>
      <c r="O266" s="93">
        <f t="shared" ca="1" si="116"/>
        <v>66.799369085173495</v>
      </c>
      <c r="P266" s="93">
        <f t="shared" ca="1" si="117"/>
        <v>66.799369085173495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IFERROR(__xludf.DUMMYFUNCTION("IMPORTRANGE(""https://docs.google.com/spreadsheets/d/1MeEWN-I1oV_STSDYn1IFDPWt_1FKiwhDph83XaGc0o0/edit?usp=sharing"",""งบพรบ!DB73"")"),0)</f>
        <v>0</v>
      </c>
      <c r="M269" s="93">
        <f ca="1">IFERROR(__xludf.DUMMYFUNCTION("IMPORTRANGE(""https://docs.google.com/spreadsheets/d/1MeEWN-I1oV_STSDYn1IFDPWt_1FKiwhDph83XaGc0o0/edit?usp=sharing"",""งบพรบ!DE73"")"),0)</f>
        <v>0</v>
      </c>
      <c r="N269" s="93">
        <f ca="1">IFERROR(__xludf.DUMMYFUNCTION("IMPORTRANGE(""https://docs.google.com/spreadsheets/d/1MeEWN-I1oV_STSDYn1IFDPWt_1FKiwhDph83XaGc0o0/edit?usp=sharing"",""งบพรบ!DG73"")"),0)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66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IFERROR(__xludf.DUMMYFUNCTION("IMPORTRANGE(""https://docs.google.com/spreadsheets/d/1QqKyyYR6Q21VydFLVH3TRQUabQu_ym0Zz7PgGX0-kHA/edit?usp=sharing"",""แผน!EA73"")"),10)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74">
        <f t="shared" ref="I276:J276" ca="1" si="123">I287</f>
        <v>0</v>
      </c>
      <c r="J276" s="874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65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IFERROR(__xludf.DUMMYFUNCTION("IMPORTRANGE(""https://docs.google.com/spreadsheets/d/1MeEWN-I1oV_STSDYn1IFDPWt_1FKiwhDph83XaGc0o0/edit?usp=sharing"",""งบพรบ!DI73"")"),0)</f>
        <v>0</v>
      </c>
      <c r="M282" s="93">
        <f ca="1">IFERROR(__xludf.DUMMYFUNCTION("IMPORTRANGE(""https://docs.google.com/spreadsheets/d/1MeEWN-I1oV_STSDYn1IFDPWt_1FKiwhDph83XaGc0o0/edit?usp=sharing"",""งบพรบ!DN73"")"),0)</f>
        <v>0</v>
      </c>
      <c r="N282" s="93">
        <f ca="1">IFERROR(__xludf.DUMMYFUNCTION("IMPORTRANGE(""https://docs.google.com/spreadsheets/d/1MeEWN-I1oV_STSDYn1IFDPWt_1FKiwhDph83XaGc0o0/edit?usp=sharing"",""งบพรบ!DP73"")"),0)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IFERROR(__xludf.DUMMYFUNCTION("IMPORTRANGE(""https://docs.google.com/spreadsheets/d/1MeEWN-I1oV_STSDYn1IFDPWt_1FKiwhDph83XaGc0o0/edit?usp=sharing"",""งบพรบ!DL73"")"),0)</f>
        <v>0</v>
      </c>
      <c r="M285" s="93">
        <f ca="1">IFERROR(__xludf.DUMMYFUNCTION("IMPORTRANGE(""https://docs.google.com/spreadsheets/d/1MeEWN-I1oV_STSDYn1IFDPWt_1FKiwhDph83XaGc0o0/edit?usp=sharing"",""งบพรบ!DO73"")"),0)</f>
        <v>0</v>
      </c>
      <c r="N285" s="93">
        <f ca="1">IFERROR(__xludf.DUMMYFUNCTION("IMPORTRANGE(""https://docs.google.com/spreadsheets/d/1MeEWN-I1oV_STSDYn1IFDPWt_1FKiwhDph83XaGc0o0/edit?usp=sharing"",""งบพรบ!DQ73"")"),0)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66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IFERROR(__xludf.DUMMYFUNCTION("IMPORTRANGE(""https://docs.google.com/spreadsheets/d/1QqKyyYR6Q21VydFLVH3TRQUabQu_ym0Zz7PgGX0-kHA/edit?usp=sharing"",""แผน!EC73"")"),0)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IFERROR(__xludf.DUMMYFUNCTION("IMPORTRANGE(""https://docs.google.com/spreadsheets/d/1QqKyyYR6Q21VydFLVH3TRQUabQu_ym0Zz7PgGX0-kHA/edit?usp=sharing"",""แผน!EB73"")"),0)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IFERROR(__xludf.DUMMYFUNCTION("IMPORTRANGE(""https://docs.google.com/spreadsheets/d/1QqKyyYR6Q21VydFLVH3TRQUabQu_ym0Zz7PgGX0-kHA/edit?usp=sharing"",""แผน!EB73"")"),0)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334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IFERROR(__xludf.DUMMYFUNCTION("IMPORTRANGE(""https://docs.google.com/spreadsheets/d/1QqKyyYR6Q21VydFLVH3TRQUabQu_ym0Zz7PgGX0-kHA/edit?usp=sharing"",""แผน!EB73"")"),0)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IFERROR(__xludf.DUMMYFUNCTION("IMPORTRANGE(""https://docs.google.com/spreadsheets/d/1QqKyyYR6Q21VydFLVH3TRQUabQu_ym0Zz7PgGX0-kHA/edit?usp=sharing"",""แผน!EB73"")"),0)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IFERROR(__xludf.DUMMYFUNCTION("IMPORTRANGE(""https://docs.google.com/spreadsheets/d/1QqKyyYR6Q21VydFLVH3TRQUabQu_ym0Zz7PgGX0-kHA/edit?usp=sharing"",""แผน!EB73"")"),0)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65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IFERROR(__xludf.DUMMYFUNCTION("IMPORTRANGE(""https://docs.google.com/spreadsheets/d/1MeEWN-I1oV_STSDYn1IFDPWt_1FKiwhDph83XaGc0o0/edit?usp=sharing"",""งบพรบ!DS73"")"),0)</f>
        <v>0</v>
      </c>
      <c r="M303" s="93">
        <f ca="1">IFERROR(__xludf.DUMMYFUNCTION("IMPORTRANGE(""https://docs.google.com/spreadsheets/d/1MeEWN-I1oV_STSDYn1IFDPWt_1FKiwhDph83XaGc0o0/edit?usp=sharing"",""งบพรบ!DX73"")"),0)</f>
        <v>0</v>
      </c>
      <c r="N303" s="93">
        <f ca="1">IFERROR(__xludf.DUMMYFUNCTION("IMPORTRANGE(""https://docs.google.com/spreadsheets/d/1MeEWN-I1oV_STSDYn1IFDPWt_1FKiwhDph83XaGc0o0/edit?usp=sharing"",""งบพรบ!DZ73"")"),0)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IFERROR(__xludf.DUMMYFUNCTION("IMPORTRANGE(""https://docs.google.com/spreadsheets/d/1MeEWN-I1oV_STSDYn1IFDPWt_1FKiwhDph83XaGc0o0/edit?usp=sharing"",""งบพรบ!DV73"")"),0)</f>
        <v>0</v>
      </c>
      <c r="M306" s="93">
        <f ca="1">IFERROR(__xludf.DUMMYFUNCTION("IMPORTRANGE(""https://docs.google.com/spreadsheets/d/1MeEWN-I1oV_STSDYn1IFDPWt_1FKiwhDph83XaGc0o0/edit?usp=sharing"",""งบพรบ!DY73"")"),0)</f>
        <v>0</v>
      </c>
      <c r="N306" s="93">
        <f ca="1">IFERROR(__xludf.DUMMYFUNCTION("IMPORTRANGE(""https://docs.google.com/spreadsheets/d/1MeEWN-I1oV_STSDYn1IFDPWt_1FKiwhDph83XaGc0o0/edit?usp=sharing"",""งบพรบ!EA73"")"),0)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66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IFERROR(__xludf.DUMMYFUNCTION("IMPORTRANGE(""https://docs.google.com/spreadsheets/d/1QqKyyYR6Q21VydFLVH3TRQUabQu_ym0Zz7PgGX0-kHA/edit?usp=sharing"",""แผน!ED73"")"),0)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IFERROR(__xludf.DUMMYFUNCTION("IMPORTRANGE(""https://docs.google.com/spreadsheets/d/1QqKyyYR6Q21VydFLVH3TRQUabQu_ym0Zz7PgGX0-kHA/edit?usp=sharing"",""แผน!ED73"")"),0)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IFERROR(__xludf.DUMMYFUNCTION("IMPORTRANGE(""https://docs.google.com/spreadsheets/d/1QqKyyYR6Q21VydFLVH3TRQUabQu_ym0Zz7PgGX0-kHA/edit?usp=sharing"",""แผน!ED73"")"),0)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IFERROR(__xludf.DUMMYFUNCTION("IMPORTRANGE(""https://docs.google.com/spreadsheets/d/1QqKyyYR6Q21VydFLVH3TRQUabQu_ym0Zz7PgGX0-kHA/edit?usp=sharing"",""แผน!EE73"")"),0)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65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IFERROR(__xludf.DUMMYFUNCTION("IMPORTRANGE(""https://docs.google.com/spreadsheets/d/1MeEWN-I1oV_STSDYn1IFDPWt_1FKiwhDph83XaGc0o0/edit?usp=sharing"",""งบพรบ!EC73"")"),0)</f>
        <v>0</v>
      </c>
      <c r="M320" s="93">
        <f ca="1">IFERROR(__xludf.DUMMYFUNCTION("IMPORTRANGE(""https://docs.google.com/spreadsheets/d/1MeEWN-I1oV_STSDYn1IFDPWt_1FKiwhDph83XaGc0o0/edit?usp=sharing"",""งบพรบ!EH73"")"),0)</f>
        <v>0</v>
      </c>
      <c r="N320" s="93">
        <f ca="1">IFERROR(__xludf.DUMMYFUNCTION("IMPORTRANGE(""https://docs.google.com/spreadsheets/d/1MeEWN-I1oV_STSDYn1IFDPWt_1FKiwhDph83XaGc0o0/edit?usp=sharing"",""งบพรบ!EJ73"")"),0)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IFERROR(__xludf.DUMMYFUNCTION("IMPORTRANGE(""https://docs.google.com/spreadsheets/d/1MeEWN-I1oV_STSDYn1IFDPWt_1FKiwhDph83XaGc0o0/edit?usp=sharing"",""งบพรบ!EF73"")"),0)</f>
        <v>0</v>
      </c>
      <c r="M323" s="93">
        <f ca="1">IFERROR(__xludf.DUMMYFUNCTION("IMPORTRANGE(""https://docs.google.com/spreadsheets/d/1MeEWN-I1oV_STSDYn1IFDPWt_1FKiwhDph83XaGc0o0/edit?usp=sharing"",""งบพรบ!EI73"")"),0)</f>
        <v>0</v>
      </c>
      <c r="N323" s="93">
        <f ca="1">IFERROR(__xludf.DUMMYFUNCTION("IMPORTRANGE(""https://docs.google.com/spreadsheets/d/1MeEWN-I1oV_STSDYn1IFDPWt_1FKiwhDph83XaGc0o0/edit?usp=sharing"",""งบพรบ!EK73"")"),0)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66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IFERROR(__xludf.DUMMYFUNCTION("IMPORTRANGE(""https://docs.google.com/spreadsheets/d/1QqKyyYR6Q21VydFLVH3TRQUabQu_ym0Zz7PgGX0-kHA/edit?usp=sharing"",""แผน!EG73"")"),50)</f>
        <v>50</v>
      </c>
      <c r="J327" s="444">
        <f ca="1">J338+J341+J342+J343</f>
        <v>85</v>
      </c>
      <c r="K327" s="445">
        <f ca="1">IF(I327&gt;0,J327*100/I327,0)</f>
        <v>170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65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356100</v>
      </c>
      <c r="N328" s="155">
        <f t="shared" ca="1" si="148"/>
        <v>259332</v>
      </c>
      <c r="O328" s="155">
        <f t="shared" ref="O328:O336" ca="1" si="149">IF(L328&gt;0,N328*100/L328,0)</f>
        <v>73.340497737556561</v>
      </c>
      <c r="P328" s="155">
        <f t="shared" ref="P328:P336" ca="1" si="150">IF(M328&gt;0,N328*100/M328,0)</f>
        <v>72.825610783487789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356100</v>
      </c>
      <c r="N330" s="93">
        <f t="shared" ca="1" si="151"/>
        <v>259332</v>
      </c>
      <c r="O330" s="93">
        <f t="shared" ca="1" si="149"/>
        <v>73.340497737556561</v>
      </c>
      <c r="P330" s="93">
        <f t="shared" ca="1" si="150"/>
        <v>72.825610783487789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356100</v>
      </c>
      <c r="N331" s="497">
        <f t="shared" ca="1" si="152"/>
        <v>259332</v>
      </c>
      <c r="O331" s="497">
        <f t="shared" ca="1" si="149"/>
        <v>73.340497737556561</v>
      </c>
      <c r="P331" s="497">
        <f t="shared" ca="1" si="150"/>
        <v>72.825610783487789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IFERROR(__xludf.DUMMYFUNCTION("IMPORTRANGE(""https://docs.google.com/spreadsheets/d/1MeEWN-I1oV_STSDYn1IFDPWt_1FKiwhDph83XaGc0o0/edit?usp=sharing"",""งบพรบ!EM73"")"),353600)</f>
        <v>353600</v>
      </c>
      <c r="M333" s="93">
        <f ca="1">IFERROR(__xludf.DUMMYFUNCTION("IMPORTRANGE(""https://docs.google.com/spreadsheets/d/1MeEWN-I1oV_STSDYn1IFDPWt_1FKiwhDph83XaGc0o0/edit?usp=sharing"",""งบพรบ!ER73"")"),356100)</f>
        <v>356100</v>
      </c>
      <c r="N333" s="93">
        <f ca="1">IFERROR(__xludf.DUMMYFUNCTION("IMPORTRANGE(""https://docs.google.com/spreadsheets/d/1MeEWN-I1oV_STSDYn1IFDPWt_1FKiwhDph83XaGc0o0/edit?usp=sharing"",""งบพรบ!ET73"")"),259332)</f>
        <v>259332</v>
      </c>
      <c r="O333" s="93">
        <f t="shared" ca="1" si="149"/>
        <v>73.340497737556561</v>
      </c>
      <c r="P333" s="93">
        <f t="shared" ca="1" si="150"/>
        <v>72.825610783487789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IFERROR(__xludf.DUMMYFUNCTION("IMPORTRANGE(""https://docs.google.com/spreadsheets/d/1MeEWN-I1oV_STSDYn1IFDPWt_1FKiwhDph83XaGc0o0/edit?usp=sharing"",""งบพรบ!EP73"")"),0)</f>
        <v>0</v>
      </c>
      <c r="M336" s="93">
        <f ca="1">IFERROR(__xludf.DUMMYFUNCTION("IMPORTRANGE(""https://docs.google.com/spreadsheets/d/1MeEWN-I1oV_STSDYn1IFDPWt_1FKiwhDph83XaGc0o0/edit?usp=sharing"",""งบพรบ!ES73"")"),0)</f>
        <v>0</v>
      </c>
      <c r="N336" s="93">
        <f ca="1">IFERROR(__xludf.DUMMYFUNCTION("IMPORTRANGE(""https://docs.google.com/spreadsheets/d/1MeEWN-I1oV_STSDYn1IFDPWt_1FKiwhDph83XaGc0o0/edit?usp=sharing"",""งบพรบ!EU73"")"),0)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66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IFERROR(__xludf.DUMMYFUNCTION("IMPORTRANGE(""https://docs.google.com/spreadsheets/d/1QqKyyYR6Q21VydFLVH3TRQUabQu_ym0Zz7PgGX0-kHA/edit?usp=sharing"",""แผน!EG73"")"),50)</f>
        <v>50</v>
      </c>
      <c r="J338" s="270">
        <f ca="1">IFERROR(__xludf.DUMMYFUNCTION("IMPORTRANGE(""https://docs.google.com/spreadsheets/d/1kVcqe37tkHyjCSG3S0O1AXqVkqjo8mSIZil3BcpIysc/edit?usp=sharing"",""ศูนย์!D73"")"),33)</f>
        <v>33</v>
      </c>
      <c r="K338" s="497">
        <f ca="1">IF(I338&gt;0,J338*100/I338,0)</f>
        <v>66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IFERROR(__xludf.DUMMYFUNCTION("IMPORTRANGE(""https://docs.google.com/spreadsheets/d/1kVcqe37tkHyjCSG3S0O1AXqVkqjo8mSIZil3BcpIysc/edit?usp=sharing"",""ศูนย์!E73"")"),2)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IFERROR(__xludf.DUMMYFUNCTION("IMPORTRANGE(""https://docs.google.com/spreadsheets/d/1kVcqe37tkHyjCSG3S0O1AXqVkqjo8mSIZil3BcpIysc/edit?usp=sharing"",""ศูนย์!F73"")"),52)</f>
        <v>52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65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78110</v>
      </c>
      <c r="M345" s="155">
        <f t="shared" ca="1" si="154"/>
        <v>78110</v>
      </c>
      <c r="N345" s="155">
        <f t="shared" ca="1" si="154"/>
        <v>30000</v>
      </c>
      <c r="O345" s="155">
        <f t="shared" ref="O345:O353" ca="1" si="155">IF(L345&gt;0,N345*100/L345,0)</f>
        <v>38.407374215849444</v>
      </c>
      <c r="P345" s="155">
        <f t="shared" ref="P345:P353" ca="1" si="156">IF(M345&gt;0,N345*100/M345,0)</f>
        <v>38.407374215849444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78110</v>
      </c>
      <c r="M347" s="93">
        <f t="shared" ca="1" si="157"/>
        <v>78110</v>
      </c>
      <c r="N347" s="93">
        <f t="shared" ca="1" si="157"/>
        <v>30000</v>
      </c>
      <c r="O347" s="93">
        <f t="shared" ca="1" si="155"/>
        <v>38.407374215849444</v>
      </c>
      <c r="P347" s="93">
        <f t="shared" ca="1" si="156"/>
        <v>38.407374215849444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48110</v>
      </c>
      <c r="M348" s="497">
        <f t="shared" ca="1" si="158"/>
        <v>48110</v>
      </c>
      <c r="N348" s="497">
        <f t="shared" ca="1" si="158"/>
        <v>0</v>
      </c>
      <c r="O348" s="497">
        <f t="shared" ca="1" si="155"/>
        <v>0</v>
      </c>
      <c r="P348" s="497">
        <f t="shared" ca="1" si="156"/>
        <v>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IFERROR(__xludf.DUMMYFUNCTION("IMPORTRANGE(""https://docs.google.com/spreadsheets/d/1MeEWN-I1oV_STSDYn1IFDPWt_1FKiwhDph83XaGc0o0/edit?usp=sharing"",""งบพรบ!EW73"")"),48110)</f>
        <v>48110</v>
      </c>
      <c r="M350" s="93">
        <f ca="1">IFERROR(__xludf.DUMMYFUNCTION("IMPORTRANGE(""https://docs.google.com/spreadsheets/d/1MeEWN-I1oV_STSDYn1IFDPWt_1FKiwhDph83XaGc0o0/edit?usp=sharing"",""งบพรบ!FB73"")"),48110)</f>
        <v>48110</v>
      </c>
      <c r="N350" s="93">
        <f ca="1">IFERROR(__xludf.DUMMYFUNCTION("IMPORTRANGE(""https://docs.google.com/spreadsheets/d/1MeEWN-I1oV_STSDYn1IFDPWt_1FKiwhDph83XaGc0o0/edit?usp=sharing"",""งบพรบ!FD73"")"),0)</f>
        <v>0</v>
      </c>
      <c r="O350" s="93">
        <f t="shared" ca="1" si="155"/>
        <v>0</v>
      </c>
      <c r="P350" s="93">
        <f t="shared" ca="1" si="156"/>
        <v>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30000</v>
      </c>
      <c r="M351" s="497">
        <f t="shared" ca="1" si="159"/>
        <v>30000</v>
      </c>
      <c r="N351" s="497">
        <f t="shared" ca="1" si="159"/>
        <v>30000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IFERROR(__xludf.DUMMYFUNCTION("IMPORTRANGE(""https://docs.google.com/spreadsheets/d/1MeEWN-I1oV_STSDYn1IFDPWt_1FKiwhDph83XaGc0o0/edit?usp=sharing"",""งบพรบ!EZ73"")"),30000)</f>
        <v>30000</v>
      </c>
      <c r="M353" s="93">
        <f ca="1">IFERROR(__xludf.DUMMYFUNCTION("IMPORTRANGE(""https://docs.google.com/spreadsheets/d/1MeEWN-I1oV_STSDYn1IFDPWt_1FKiwhDph83XaGc0o0/edit?usp=sharing"",""งบพรบ!FC73"")"),30000)</f>
        <v>30000</v>
      </c>
      <c r="N353" s="93">
        <f ca="1">IFERROR(__xludf.DUMMYFUNCTION("IMPORTRANGE(""https://docs.google.com/spreadsheets/d/1MeEWN-I1oV_STSDYn1IFDPWt_1FKiwhDph83XaGc0o0/edit?usp=sharing"",""งบพรบ!FE73"")"),30000)</f>
        <v>30000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75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76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IFERROR(__xludf.DUMMYFUNCTION("IMPORTRANGE(""https://docs.google.com/spreadsheets/d/1QqKyyYR6Q21VydFLVH3TRQUabQu_ym0Zz7PgGX0-kHA/edit?usp=sharing"",""แผน!EP73"")"),0)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66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IFERROR(__xludf.DUMMYFUNCTION("IMPORTRANGE(""https://docs.google.com/spreadsheets/d/1XWAQStnk-4SwqDmLtmXYiTMKHgktTP8We1SCoS47DrQ/edit?usp=sharing"",""จัดที่ดิน!W73"")"),0)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IFERROR(__xludf.DUMMYFUNCTION("IMPORTRANGE(""https://docs.google.com/spreadsheets/d/1QqKyyYR6Q21VydFLVH3TRQUabQu_ym0Zz7PgGX0-kHA/edit?usp=sharing"",""แผน!EO73"")"),0)</f>
        <v>0</v>
      </c>
      <c r="J359" s="270">
        <f ca="1">IFERROR(__xludf.DUMMYFUNCTION("IMPORTRANGE(""https://docs.google.com/spreadsheets/d/1XWAQStnk-4SwqDmLtmXYiTMKHgktTP8We1SCoS47DrQ/edit?usp=sharing"",""จัดที่ดิน!X73"")"),0)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IFERROR(__xludf.DUMMYFUNCTION("IMPORTRANGE(""https://docs.google.com/spreadsheets/d/1QqKyyYR6Q21VydFLVH3TRQUabQu_ym0Zz7PgGX0-kHA/edit?usp=sharing"",""แผน!EP73"")"),0)</f>
        <v>0</v>
      </c>
      <c r="J360" s="270">
        <f ca="1">IFERROR(__xludf.DUMMYFUNCTION("IMPORTRANGE(""https://docs.google.com/spreadsheets/d/1XWAQStnk-4SwqDmLtmXYiTMKHgktTP8We1SCoS47DrQ/edit?usp=sharing"",""จัดที่ดิน!Y73"")"),0)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IFERROR(__xludf.DUMMYFUNCTION("IMPORTRANGE(""https://docs.google.com/spreadsheets/d/1XWAQStnk-4SwqDmLtmXYiTMKHgktTP8We1SCoS47DrQ/edit?usp=sharing"",""จัดที่ดิน!Z73"")"),0)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IFERROR(__xludf.DUMMYFUNCTION("IMPORTRANGE(""https://docs.google.com/spreadsheets/d/1QqKyyYR6Q21VydFLVH3TRQUabQu_ym0Zz7PgGX0-kHA/edit?usp=sharing"",""แผน!EP73"")"),0)</f>
        <v>0</v>
      </c>
      <c r="J362" s="270">
        <f ca="1">IFERROR(__xludf.DUMMYFUNCTION("IMPORTRANGE(""https://docs.google.com/spreadsheets/d/1XWAQStnk-4SwqDmLtmXYiTMKHgktTP8We1SCoS47DrQ/edit?usp=sharing"",""จัดที่ดิน!AA73"")"),0)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IFERROR(__xludf.DUMMYFUNCTION("IMPORTRANGE(""https://docs.google.com/spreadsheets/d/1XWAQStnk-4SwqDmLtmXYiTMKHgktTP8We1SCoS47DrQ/edit?usp=sharing"",""จัดที่ดิน!AB73"")"),0)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IFERROR(__xludf.DUMMYFUNCTION("IMPORTRANGE(""https://docs.google.com/spreadsheets/d/1QqKyyYR6Q21VydFLVH3TRQUabQu_ym0Zz7PgGX0-kHA/edit?usp=sharing"",""แผน!EJ73"")"),0)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66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IFERROR(__xludf.DUMMYFUNCTION("IMPORTRANGE(""https://docs.google.com/spreadsheets/d/1XWAQStnk-4SwqDmLtmXYiTMKHgktTP8We1SCoS47DrQ/edit?usp=sharing"",""จัดที่ดิน!E73"")"),0)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IFERROR(__xludf.DUMMYFUNCTION("IMPORTRANGE(""https://docs.google.com/spreadsheets/d/1QqKyyYR6Q21VydFLVH3TRQUabQu_ym0Zz7PgGX0-kHA/edit?usp=sharing"",""แผน!EI73"")"),0)</f>
        <v>0</v>
      </c>
      <c r="J369" s="270">
        <f ca="1">IFERROR(__xludf.DUMMYFUNCTION("IMPORTRANGE(""https://docs.google.com/spreadsheets/d/1XWAQStnk-4SwqDmLtmXYiTMKHgktTP8We1SCoS47DrQ/edit?usp=sharing"",""จัดที่ดิน!F73"")"),0)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IFERROR(__xludf.DUMMYFUNCTION("IMPORTRANGE(""https://docs.google.com/spreadsheets/d/1QqKyyYR6Q21VydFLVH3TRQUabQu_ym0Zz7PgGX0-kHA/edit?usp=sharing"",""แผน!EJ73"")"),0)</f>
        <v>0</v>
      </c>
      <c r="J370" s="270">
        <f ca="1">IFERROR(__xludf.DUMMYFUNCTION("IMPORTRANGE(""https://docs.google.com/spreadsheets/d/1XWAQStnk-4SwqDmLtmXYiTMKHgktTP8We1SCoS47DrQ/edit?usp=sharing"",""จัดที่ดิน!G73"")"),0)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IFERROR(__xludf.DUMMYFUNCTION("IMPORTRANGE(""https://docs.google.com/spreadsheets/d/1XWAQStnk-4SwqDmLtmXYiTMKHgktTP8We1SCoS47DrQ/edit?usp=sharing"",""จัดที่ดิน!H73"")"),0)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IFERROR(__xludf.DUMMYFUNCTION("IMPORTRANGE(""https://docs.google.com/spreadsheets/d/1QqKyyYR6Q21VydFLVH3TRQUabQu_ym0Zz7PgGX0-kHA/edit?usp=sharing"",""แผน!EJ73"")"),0)</f>
        <v>0</v>
      </c>
      <c r="J372" s="270">
        <f ca="1">IFERROR(__xludf.DUMMYFUNCTION("IMPORTRANGE(""https://docs.google.com/spreadsheets/d/1XWAQStnk-4SwqDmLtmXYiTMKHgktTP8We1SCoS47DrQ/edit?usp=sharing"",""จัดที่ดิน!I73"")"),0)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IFERROR(__xludf.DUMMYFUNCTION("IMPORTRANGE(""https://docs.google.com/spreadsheets/d/1XWAQStnk-4SwqDmLtmXYiTMKHgktTP8We1SCoS47DrQ/edit?usp=sharing"",""จัดที่ดิน!J73"")"),0)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IFERROR(__xludf.DUMMYFUNCTION("IMPORTRANGE(""https://docs.google.com/spreadsheets/d/1QqKyyYR6Q21VydFLVH3TRQUabQu_ym0Zz7PgGX0-kHA/edit?usp=sharing"",""แผน!EU73"")"),0)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66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IFERROR(__xludf.DUMMYFUNCTION("IMPORTRANGE(""https://docs.google.com/spreadsheets/d/1XWAQStnk-4SwqDmLtmXYiTMKHgktTP8We1SCoS47DrQ/edit?usp=sharing"",""จัดที่ดิน!AH73"")"),0)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IFERROR(__xludf.DUMMYFUNCTION("IMPORTRANGE(""https://docs.google.com/spreadsheets/d/1QqKyyYR6Q21VydFLVH3TRQUabQu_ym0Zz7PgGX0-kHA/edit?usp=sharing"",""แผน!ET73"")"),0)</f>
        <v>0</v>
      </c>
      <c r="J378" s="270">
        <f ca="1">IFERROR(__xludf.DUMMYFUNCTION("IMPORTRANGE(""https://docs.google.com/spreadsheets/d/1XWAQStnk-4SwqDmLtmXYiTMKHgktTP8We1SCoS47DrQ/edit?usp=sharing"",""จัดที่ดิน!AI73"")"),0)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IFERROR(__xludf.DUMMYFUNCTION("IMPORTRANGE(""https://docs.google.com/spreadsheets/d/1QqKyyYR6Q21VydFLVH3TRQUabQu_ym0Zz7PgGX0-kHA/edit?usp=sharing"",""แผน!EU73"")"),0)</f>
        <v>0</v>
      </c>
      <c r="J379" s="270">
        <f ca="1">IFERROR(__xludf.DUMMYFUNCTION("IMPORTRANGE(""https://docs.google.com/spreadsheets/d/1XWAQStnk-4SwqDmLtmXYiTMKHgktTP8We1SCoS47DrQ/edit?usp=sharing"",""จัดที่ดิน!AJ73"")"),0)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IFERROR(__xludf.DUMMYFUNCTION("IMPORTRANGE(""https://docs.google.com/spreadsheets/d/1XWAQStnk-4SwqDmLtmXYiTMKHgktTP8We1SCoS47DrQ/edit?usp=sharing"",""จัดที่ดิน!AK73"")"),0)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IFERROR(__xludf.DUMMYFUNCTION("IMPORTRANGE(""https://docs.google.com/spreadsheets/d/1QqKyyYR6Q21VydFLVH3TRQUabQu_ym0Zz7PgGX0-kHA/edit?usp=sharing"",""แผน!EU73"")"),0)</f>
        <v>0</v>
      </c>
      <c r="J381" s="270">
        <f ca="1">IFERROR(__xludf.DUMMYFUNCTION("IMPORTRANGE(""https://docs.google.com/spreadsheets/d/1XWAQStnk-4SwqDmLtmXYiTMKHgktTP8We1SCoS47DrQ/edit?usp=sharing"",""จัดที่ดิน!AL73"")"),0)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IFERROR(__xludf.DUMMYFUNCTION("IMPORTRANGE(""https://docs.google.com/spreadsheets/d/1XWAQStnk-4SwqDmLtmXYiTMKHgktTP8We1SCoS47DrQ/edit?usp=sharing"",""จัดที่ดิน!AM73"")"),0)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75" t="s">
        <v>346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66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IFERROR(__xludf.DUMMYFUNCTION("IMPORTRANGE(""https://docs.google.com/spreadsheets/d/1QqKyyYR6Q21VydFLVH3TRQUabQu_ym0Zz7PgGX0-kHA/edit?usp=sharing"",""แผน!EW73"")"),0)</f>
        <v>0</v>
      </c>
      <c r="J385" s="501">
        <f ca="1">IFERROR(__xludf.DUMMYFUNCTION("IMPORTRANGE(""https://docs.google.com/spreadsheets/d/1XWAQStnk-4SwqDmLtmXYiTMKHgktTP8We1SCoS47DrQ/edit?usp=sharing"",""จัดที่ดิน!AP73"")"),0)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65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IFERROR(__xludf.DUMMYFUNCTION("IMPORTRANGE(""https://docs.google.com/spreadsheets/d/1MeEWN-I1oV_STSDYn1IFDPWt_1FKiwhDph83XaGc0o0/edit?usp=sharing"",""งบพรบ!FG73"")"),0)</f>
        <v>0</v>
      </c>
      <c r="M394" s="93">
        <f ca="1">IFERROR(__xludf.DUMMYFUNCTION("IMPORTRANGE(""https://docs.google.com/spreadsheets/d/1MeEWN-I1oV_STSDYn1IFDPWt_1FKiwhDph83XaGc0o0/edit?usp=sharing"",""งบพรบ!FL73"")"),0)</f>
        <v>0</v>
      </c>
      <c r="N394" s="93">
        <f ca="1">IFERROR(__xludf.DUMMYFUNCTION("IMPORTRANGE(""https://docs.google.com/spreadsheets/d/1MeEWN-I1oV_STSDYn1IFDPWt_1FKiwhDph83XaGc0o0/edit?usp=sharing"",""งบพรบ!FN73"")"),0)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IFERROR(__xludf.DUMMYFUNCTION("IMPORTRANGE(""https://docs.google.com/spreadsheets/d/1MeEWN-I1oV_STSDYn1IFDPWt_1FKiwhDph83XaGc0o0/edit?usp=sharing"",""งบพรบ!FJ73"")"),0)</f>
        <v>0</v>
      </c>
      <c r="M397" s="93">
        <f ca="1">IFERROR(__xludf.DUMMYFUNCTION("IMPORTRANGE(""https://docs.google.com/spreadsheets/d/1MeEWN-I1oV_STSDYn1IFDPWt_1FKiwhDph83XaGc0o0/edit?usp=sharing"",""งบพรบ!FM73"")"),0)</f>
        <v>0</v>
      </c>
      <c r="N397" s="93">
        <f ca="1">IFERROR(__xludf.DUMMYFUNCTION("IMPORTRANGE(""https://docs.google.com/spreadsheets/d/1MeEWN-I1oV_STSDYn1IFDPWt_1FKiwhDph83XaGc0o0/edit?usp=sharing"",""งบพรบ!FO73"")"),0)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66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65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IFERROR(__xludf.DUMMYFUNCTION("IMPORTRANGE(""https://docs.google.com/spreadsheets/d/1MeEWN-I1oV_STSDYn1IFDPWt_1FKiwhDph83XaGc0o0/edit?usp=sharing"",""งบพรบ!FQ73"")"),0)</f>
        <v>0</v>
      </c>
      <c r="M407" s="93">
        <f ca="1">IFERROR(__xludf.DUMMYFUNCTION("IMPORTRANGE(""https://docs.google.com/spreadsheets/d/1MeEWN-I1oV_STSDYn1IFDPWt_1FKiwhDph83XaGc0o0/edit?usp=sharing"",""งบพรบ!FV73"")"),0)</f>
        <v>0</v>
      </c>
      <c r="N407" s="93">
        <f ca="1">IFERROR(__xludf.DUMMYFUNCTION("IMPORTRANGE(""https://docs.google.com/spreadsheets/d/1MeEWN-I1oV_STSDYn1IFDPWt_1FKiwhDph83XaGc0o0/edit?usp=sharing"",""งบพรบ!FX73"")"),0)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IFERROR(__xludf.DUMMYFUNCTION("IMPORTRANGE(""https://docs.google.com/spreadsheets/d/1MeEWN-I1oV_STSDYn1IFDPWt_1FKiwhDph83XaGc0o0/edit?usp=sharing"",""งบพรบ!FT73"")"),0)</f>
        <v>0</v>
      </c>
      <c r="M410" s="93">
        <f ca="1">IFERROR(__xludf.DUMMYFUNCTION("IMPORTRANGE(""https://docs.google.com/spreadsheets/d/1MeEWN-I1oV_STSDYn1IFDPWt_1FKiwhDph83XaGc0o0/edit?usp=sharing"",""งบพรบ!FW73"")"),0)</f>
        <v>0</v>
      </c>
      <c r="N410" s="93">
        <f ca="1">IFERROR(__xludf.DUMMYFUNCTION("IMPORTRANGE(""https://docs.google.com/spreadsheets/d/1MeEWN-I1oV_STSDYn1IFDPWt_1FKiwhDph83XaGc0o0/edit?usp=sharing"",""งบพรบ!FY73"")"),0)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77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251580</v>
      </c>
      <c r="M414" s="549">
        <f t="shared" ca="1" si="180"/>
        <v>251580</v>
      </c>
      <c r="N414" s="549">
        <f t="shared" si="180"/>
        <v>144055</v>
      </c>
      <c r="O414" s="549">
        <f ca="1">IF(L414&gt;0,N414*100/L414,0)</f>
        <v>57.260116066459972</v>
      </c>
      <c r="P414" s="549">
        <f ca="1">IF(M414&gt;0,N414*100/M414,0)</f>
        <v>57.260116066459972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8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48413</v>
      </c>
      <c r="O419" s="155">
        <f t="shared" ref="O419:O424" ca="1" si="184">IF(L419&gt;0,N419*100/L419,0)</f>
        <v>88.73350439882698</v>
      </c>
      <c r="P419" s="155">
        <f t="shared" ref="P419:P424" ca="1" si="185">IF(M419&gt;0,N419*100/M419,0)</f>
        <v>88.73350439882698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48413</v>
      </c>
      <c r="O421" s="93">
        <f t="shared" ca="1" si="184"/>
        <v>88.73350439882698</v>
      </c>
      <c r="P421" s="93">
        <f t="shared" ca="1" si="185"/>
        <v>88.73350439882698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54560</v>
      </c>
      <c r="N422" s="497">
        <f t="shared" si="187"/>
        <v>48413</v>
      </c>
      <c r="O422" s="497">
        <f t="shared" ca="1" si="184"/>
        <v>88.73350439882698</v>
      </c>
      <c r="P422" s="497">
        <f t="shared" ca="1" si="185"/>
        <v>88.73350439882698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IFERROR(__xludf.DUMMYFUNCTION("IMPORTRANGE(""https://docs.google.com/spreadsheets/d/1QqKyyYR6Q21VydFLVH3TRQUabQu_ym0Zz7PgGX0-kHA/edit?usp=sharing"",""แผน!EY73"")"),54560)</f>
        <v>54560</v>
      </c>
      <c r="M424" s="93">
        <f ca="1">L424</f>
        <v>54560</v>
      </c>
      <c r="N424" s="93">
        <f>N425+N426+N427+N428</f>
        <v>48413</v>
      </c>
      <c r="O424" s="93">
        <f t="shared" ca="1" si="184"/>
        <v>88.73350439882698</v>
      </c>
      <c r="P424" s="93">
        <f t="shared" ca="1" si="185"/>
        <v>88.73350439882698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2210+350+1500+700+3600+3600+1500+700+350+3600+1500+700+3600+1500+700+7200+1500+700+350+1913</f>
        <v>37773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2000+3240+1500+1500+2400</f>
        <v>10640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IFERROR(__xludf.DUMMYFUNCTION("IMPORTRANGE(""https://docs.google.com/spreadsheets/d/1QqKyyYR6Q21VydFLVH3TRQUabQu_ym0Zz7PgGX0-kHA/edit?usp=sharing"",""แผน!FB73"")"),0)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79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IFERROR(__xludf.DUMMYFUNCTION("IMPORTRANGE(""https://docs.google.com/spreadsheets/d/1QqKyyYR6Q21VydFLVH3TRQUabQu_ym0Zz7PgGX0-kHA/edit?usp=sharing"",""แผน!FC73"")"),10)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IFERROR(__xludf.DUMMYFUNCTION("IMPORTRANGE(""https://docs.google.com/spreadsheets/d/1QqKyyYR6Q21VydFLVH3TRQUabQu_ym0Zz7PgGX0-kHA/edit?usp=sharing"",""แผน!FD73"")"),0)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IFERROR(__xludf.DUMMYFUNCTION("IMPORTRANGE(""https://docs.google.com/spreadsheets/d/1QqKyyYR6Q21VydFLVH3TRQUabQu_ym0Zz7PgGX0-kHA/edit?usp=sharing"",""แผน!FE73"")"),0)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IFERROR(__xludf.DUMMYFUNCTION("IMPORTRANGE(""https://docs.google.com/spreadsheets/d/1QqKyyYR6Q21VydFLVH3TRQUabQu_ym0Zz7PgGX0-kHA/edit?usp=sharing"",""แผน!FF73"")"),10)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IFERROR(__xludf.DUMMYFUNCTION("IMPORTRANGE(""https://docs.google.com/spreadsheets/d/1QqKyyYR6Q21VydFLVH3TRQUabQu_ym0Zz7PgGX0-kHA/edit?usp=sharing"",""แผน!FG73"")"),1)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IFERROR(__xludf.DUMMYFUNCTION("IMPORTRANGE(""https://docs.google.com/spreadsheets/d/1QqKyyYR6Q21VydFLVH3TRQUabQu_ym0Zz7PgGX0-kHA/edit?usp=sharing"",""แผน!FH73"")"),0)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15</v>
      </c>
      <c r="J442" s="585">
        <f t="shared" si="194"/>
        <v>15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30</v>
      </c>
      <c r="J443" s="565">
        <f t="shared" si="195"/>
        <v>30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86360</v>
      </c>
      <c r="M444" s="195">
        <f t="shared" ca="1" si="196"/>
        <v>86360</v>
      </c>
      <c r="N444" s="195">
        <f t="shared" si="196"/>
        <v>86360</v>
      </c>
      <c r="O444" s="195">
        <f t="shared" ref="O444:O449" ca="1" si="197">IF(L444&gt;0,N444*100/L444,0)</f>
        <v>100</v>
      </c>
      <c r="P444" s="195">
        <f t="shared" ref="P444:P449" ca="1" si="198">IF(M444&gt;0,N444*100/M444,0)</f>
        <v>100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86360</v>
      </c>
      <c r="M446" s="93">
        <f t="shared" ca="1" si="199"/>
        <v>86360</v>
      </c>
      <c r="N446" s="93">
        <f t="shared" si="199"/>
        <v>86360</v>
      </c>
      <c r="O446" s="93">
        <f t="shared" ca="1" si="197"/>
        <v>100</v>
      </c>
      <c r="P446" s="93">
        <f t="shared" ca="1" si="198"/>
        <v>100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86360</v>
      </c>
      <c r="M447" s="497">
        <f t="shared" ca="1" si="200"/>
        <v>86360</v>
      </c>
      <c r="N447" s="497">
        <f t="shared" si="200"/>
        <v>86360</v>
      </c>
      <c r="O447" s="497">
        <f t="shared" ca="1" si="197"/>
        <v>100</v>
      </c>
      <c r="P447" s="497">
        <f t="shared" ca="1" si="198"/>
        <v>100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IFERROR(__xludf.DUMMYFUNCTION("IMPORTRANGE(""https://docs.google.com/spreadsheets/d/1QqKyyYR6Q21VydFLVH3TRQUabQu_ym0Zz7PgGX0-kHA/edit?usp=sharing"",""แผน!FJ73"")"),86360)</f>
        <v>86360</v>
      </c>
      <c r="M449" s="93">
        <f ca="1">L449</f>
        <v>86360</v>
      </c>
      <c r="N449" s="93">
        <f>N450+N451+N452+N453</f>
        <v>86360</v>
      </c>
      <c r="O449" s="93">
        <f t="shared" ca="1" si="197"/>
        <v>100</v>
      </c>
      <c r="P449" s="93">
        <f t="shared" ca="1" si="198"/>
        <v>100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f>26890+3000+1400+6000+3500+7550</f>
        <v>48340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f>19568+14952</f>
        <v>34520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2000+1500</f>
        <v>3500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IFERROR(__xludf.DUMMYFUNCTION("IMPORTRANGE(""https://docs.google.com/spreadsheets/d/1QqKyyYR6Q21VydFLVH3TRQUabQu_ym0Zz7PgGX0-kHA/edit?usp=sharing"",""แผน!FM73"")"),0)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80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IFERROR(__xludf.DUMMYFUNCTION("IMPORTRANGE(""https://docs.google.com/spreadsheets/d/1QqKyyYR6Q21VydFLVH3TRQUabQu_ym0Zz7PgGX0-kHA/edit?usp=sharing"",""แผน!FN73"")"),15)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IFERROR(__xludf.DUMMYFUNCTION("IMPORTRANGE(""https://docs.google.com/spreadsheets/d/1QqKyyYR6Q21VydFLVH3TRQUabQu_ym0Zz7PgGX0-kHA/edit?usp=sharing"",""แผน!FO73"")"),30)</f>
        <v>30</v>
      </c>
      <c r="J462" s="215">
        <v>30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IFERROR(__xludf.DUMMYFUNCTION("IMPORTRANGE(""https://docs.google.com/spreadsheets/d/1QqKyyYR6Q21VydFLVH3TRQUabQu_ym0Zz7PgGX0-kHA/edit?usp=sharing"",""แผน!FO73"")"),30)</f>
        <v>30</v>
      </c>
      <c r="J463" s="215">
        <v>10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IFERROR(__xludf.DUMMYFUNCTION("IMPORTRANGE(""https://docs.google.com/spreadsheets/d/1QqKyyYR6Q21VydFLVH3TRQUabQu_ym0Zz7PgGX0-kHA/edit?usp=sharing"",""แผน!FN73"")"),15)</f>
        <v>15</v>
      </c>
      <c r="J464" s="215">
        <v>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IFERROR(__xludf.DUMMYFUNCTION("IMPORTRANGE(""https://docs.google.com/spreadsheets/d/1QqKyyYR6Q21VydFLVH3TRQUabQu_ym0Zz7PgGX0-kHA/edit?usp=sharing"",""แผน!FX73"")"),0)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IFERROR(__xludf.DUMMYFUNCTION("IMPORTRANGE(""https://docs.google.com/spreadsheets/d/1QqKyyYR6Q21VydFLVH3TRQUabQu_ym0Zz7PgGX0-kHA/edit?usp=sharing"",""แผน!FW73"")"),0)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IFERROR(__xludf.DUMMYFUNCTION("IMPORTRANGE(""https://docs.google.com/spreadsheets/d/1QqKyyYR6Q21VydFLVH3TRQUabQu_ym0Zz7PgGX0-kHA/edit?usp=sharing"",""แผน!FS73"")"),0)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IFERROR(__xludf.DUMMYFUNCTION("IMPORTRANGE(""https://docs.google.com/spreadsheets/d/1QqKyyYR6Q21VydFLVH3TRQUabQu_ym0Zz7PgGX0-kHA/edit?usp=sharing"",""แผน!FV73"")"),0)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881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IFERROR(__xludf.DUMMYFUNCTION("IMPORTRANGE(""https://docs.google.com/spreadsheets/d/1QqKyyYR6Q21VydFLVH3TRQUabQu_ym0Zz7PgGX0-kHA/edit?usp=sharing"",""แผน!FY73"")"),0)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IFERROR(__xludf.DUMMYFUNCTION("IMPORTRANGE(""https://docs.google.com/spreadsheets/d/1QqKyyYR6Q21VydFLVH3TRQUabQu_ym0Zz7PgGX0-kHA/edit?usp=sharing"",""แผน!FZ73"")"),0)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IFERROR(__xludf.DUMMYFUNCTION("IMPORTRANGE(""https://docs.google.com/spreadsheets/d/1QqKyyYR6Q21VydFLVH3TRQUabQu_ym0Zz7PgGX0-kHA/edit?usp=sharing"",""แผน!GA73"")"),0)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IFERROR(__xludf.DUMMYFUNCTION("IMPORTRANGE(""https://docs.google.com/spreadsheets/d/1QqKyyYR6Q21VydFLVH3TRQUabQu_ym0Zz7PgGX0-kHA/edit?usp=sharing"",""แผน!GB73"")"),0)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IFERROR(__xludf.DUMMYFUNCTION("IMPORTRANGE(""https://docs.google.com/spreadsheets/d/1QqKyyYR6Q21VydFLVH3TRQUabQu_ym0Zz7PgGX0-kHA/edit?usp=sharing"",""แผน!GC73"")"),0)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IFERROR(__xludf.DUMMYFUNCTION("IMPORTRANGE(""https://docs.google.com/spreadsheets/d/1QqKyyYR6Q21VydFLVH3TRQUabQu_ym0Zz7PgGX0-kHA/edit?usp=sharing"",""แผน!FY73"")"),0)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IFERROR(__xludf.DUMMYFUNCTION("IMPORTRANGE(""https://docs.google.com/spreadsheets/d/1QqKyyYR6Q21VydFLVH3TRQUabQu_ym0Zz7PgGX0-kHA/edit?usp=sharing"",""แผน!GA73"")"),0)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82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IFERROR(__xludf.DUMMYFUNCTION("IMPORTRANGE(""https://docs.google.com/spreadsheets/d/1QqKyyYR6Q21VydFLVH3TRQUabQu_ym0Zz7PgGX0-kHA/edit?usp=sharing"",""แผน!GQ73"")"),0)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IFERROR(__xludf.DUMMYFUNCTION("IMPORTRANGE(""https://docs.google.com/spreadsheets/d/1QqKyyYR6Q21VydFLVH3TRQUabQu_ym0Zz7PgGX0-kHA/edit?usp=sharing"",""แผน!GT73"")"),0)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83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IFERROR(__xludf.DUMMYFUNCTION("IMPORTRANGE(""https://docs.google.com/spreadsheets/d/1QqKyyYR6Q21VydFLVH3TRQUabQu_ym0Zz7PgGX0-kHA/edit?usp=sharing"",""แผน!GU73"")"),0)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IFERROR(__xludf.DUMMYFUNCTION("IMPORTRANGE(""https://docs.google.com/spreadsheets/d/1QqKyyYR6Q21VydFLVH3TRQUabQu_ym0Zz7PgGX0-kHA/edit?usp=sharing"",""แผน!GV73"")"),0)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IFERROR(__xludf.DUMMYFUNCTION("IMPORTRANGE(""https://docs.google.com/spreadsheets/d/1QqKyyYR6Q21VydFLVH3TRQUabQu_ym0Zz7PgGX0-kHA/edit?usp=sharing"",""แผน!GW73"")"),0)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IFERROR(__xludf.DUMMYFUNCTION("IMPORTRANGE(""https://docs.google.com/spreadsheets/d/1QqKyyYR6Q21VydFLVH3TRQUabQu_ym0Zz7PgGX0-kHA/edit?usp=sharing"",""แผน!GX73"")"),0)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IFERROR(__xludf.DUMMYFUNCTION("IMPORTRANGE(""https://docs.google.com/spreadsheets/d/1QqKyyYR6Q21VydFLVH3TRQUabQu_ym0Zz7PgGX0-kHA/edit?usp=sharing"",""แผน!GY73"")"),0)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IFERROR(__xludf.DUMMYFUNCTION("IMPORTRANGE(""https://docs.google.com/spreadsheets/d/1QqKyyYR6Q21VydFLVH3TRQUabQu_ym0Zz7PgGX0-kHA/edit?usp=sharing"",""แผน!GZ73"")"),0)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84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85200</v>
      </c>
      <c r="M544" s="155">
        <f t="shared" ca="1" si="235"/>
        <v>85200</v>
      </c>
      <c r="N544" s="155">
        <f t="shared" si="235"/>
        <v>0</v>
      </c>
      <c r="O544" s="155">
        <f t="shared" ref="O544:O549" ca="1" si="236">IF(L544&gt;0,N544*100/L544,0)</f>
        <v>0</v>
      </c>
      <c r="P544" s="155">
        <f t="shared" ref="P544:P549" ca="1" si="237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85200</v>
      </c>
      <c r="M546" s="93">
        <f t="shared" ca="1" si="239"/>
        <v>85200</v>
      </c>
      <c r="N546" s="93">
        <f t="shared" si="239"/>
        <v>0</v>
      </c>
      <c r="O546" s="93">
        <f t="shared" ca="1" si="236"/>
        <v>0</v>
      </c>
      <c r="P546" s="93">
        <f t="shared" ca="1" si="237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85200</v>
      </c>
      <c r="M547" s="497">
        <f t="shared" ca="1" si="240"/>
        <v>85200</v>
      </c>
      <c r="N547" s="497">
        <f t="shared" si="240"/>
        <v>0</v>
      </c>
      <c r="O547" s="497">
        <f t="shared" ca="1" si="236"/>
        <v>0</v>
      </c>
      <c r="P547" s="497">
        <f t="shared" ca="1" si="237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IFERROR(__xludf.DUMMYFUNCTION("IMPORTRANGE(""https://docs.google.com/spreadsheets/d/1QqKyyYR6Q21VydFLVH3TRQUabQu_ym0Zz7PgGX0-kHA/edit?usp=sharing"",""แผน!HB73"")"),85200)</f>
        <v>85200</v>
      </c>
      <c r="M549" s="93">
        <f ca="1">L549</f>
        <v>85200</v>
      </c>
      <c r="N549" s="93">
        <f>N550+N551+N552+N553+N554</f>
        <v>0</v>
      </c>
      <c r="O549" s="93">
        <f t="shared" ca="1" si="236"/>
        <v>0</v>
      </c>
      <c r="P549" s="93">
        <f t="shared" ca="1" si="237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IFERROR(__xludf.DUMMYFUNCTION("IMPORTRANGE(""https://docs.google.com/spreadsheets/d/1QqKyyYR6Q21VydFLVH3TRQUabQu_ym0Zz7PgGX0-kHA/edit?usp=sharing"",""แผน!HF73"")"),0)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83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IFERROR(__xludf.DUMMYFUNCTION("IMPORTRANGE(""https://docs.google.com/spreadsheets/d/1QqKyyYR6Q21VydFLVH3TRQUabQu_ym0Zz7PgGX0-kHA/edit?usp=sharing"",""แผน!HH73"")"),0)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IFERROR(__xludf.DUMMYFUNCTION("IMPORTRANGE(""https://docs.google.com/spreadsheets/d/1QqKyyYR6Q21VydFLVH3TRQUabQu_ym0Zz7PgGX0-kHA/edit?usp=sharing"",""แผน!HG73"")"),0)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IFERROR(__xludf.DUMMYFUNCTION("IMPORTRANGE(""https://docs.google.com/spreadsheets/d/1QqKyyYR6Q21VydFLVH3TRQUabQu_ym0Zz7PgGX0-kHA/edit?usp=sharing"",""แผน!HH73"")"),0)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IFERROR(__xludf.DUMMYFUNCTION("IMPORTRANGE(""https://docs.google.com/spreadsheets/d/1QqKyyYR6Q21VydFLVH3TRQUabQu_ym0Zz7PgGX0-kHA/edit?usp=sharing"",""แผน!HG73"")"),0)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IFERROR(__xludf.DUMMYFUNCTION("IMPORTRANGE(""https://docs.google.com/spreadsheets/d/1QqKyyYR6Q21VydFLVH3TRQUabQu_ym0Zz7PgGX0-kHA/edit?usp=sharing"",""แผน!HH73"")"),0)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IFERROR(__xludf.DUMMYFUNCTION("IMPORTRANGE(""https://docs.google.com/spreadsheets/d/1QqKyyYR6Q21VydFLVH3TRQUabQu_ym0Zz7PgGX0-kHA/edit?usp=sharing"",""แผน!HG73"")"),0)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258.67</v>
      </c>
      <c r="J592" s="703">
        <f t="shared" si="252"/>
        <v>258.67</v>
      </c>
      <c r="K592" s="672">
        <f t="shared" ref="K592:K594" ca="1" si="253">IF(I592&gt;0,J592*100/I592,0)</f>
        <v>100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IFERROR(__xludf.DUMMYFUNCTION("IMPORTRANGE(""https://docs.google.com/spreadsheets/d/1QqKyyYR6Q21VydFLVH3TRQUabQu_ym0Zz7PgGX0-kHA/edit?usp=sharing"",""แผน!HJ73"")"),258.67)</f>
        <v>258.67</v>
      </c>
      <c r="J593" s="193">
        <f t="shared" ref="J593:J594" si="254">J595+J603+J609</f>
        <v>258.67</v>
      </c>
      <c r="K593" s="411">
        <f t="shared" ca="1" si="253"/>
        <v>100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IFERROR(__xludf.DUMMYFUNCTION("IMPORTRANGE(""https://docs.google.com/spreadsheets/d/1QqKyyYR6Q21VydFLVH3TRQUabQu_ym0Zz7PgGX0-kHA/edit?usp=sharing"",""แผน!HI73"")"),64)</f>
        <v>64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258.67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258.67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IFERROR(__xludf.DUMMYFUNCTION("IMPORTRANGE(""https://docs.google.com/spreadsheets/d/1QqKyyYR6Q21VydFLVH3TRQUabQu_ym0Zz7PgGX0-kHA/edit?usp=sharing"",""แผน!HL73"")"),0)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IFERROR(__xludf.DUMMYFUNCTION("IMPORTRANGE(""https://docs.google.com/spreadsheets/d/1QqKyyYR6Q21VydFLVH3TRQUabQu_ym0Zz7PgGX0-kHA/edit?usp=sharing"",""แผน!HK73"")"),0)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IFERROR(__xludf.DUMMYFUNCTION("IMPORTRANGE(""https://docs.google.com/spreadsheets/d/1QqKyyYR6Q21VydFLVH3TRQUabQu_ym0Zz7PgGX0-kHA/edit?usp=sharing"",""แผน!HN73"")"),0)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IFERROR(__xludf.DUMMYFUNCTION("IMPORTRANGE(""https://docs.google.com/spreadsheets/d/1QqKyyYR6Q21VydFLVH3TRQUabQu_ym0Zz7PgGX0-kHA/edit?usp=sharing"",""แผน!HQ73"")"),0)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83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IFERROR(__xludf.DUMMYFUNCTION("IMPORTRANGE(""https://docs.google.com/spreadsheets/d/1QqKyyYR6Q21VydFLVH3TRQUabQu_ym0Zz7PgGX0-kHA/edit?usp=sharing"",""แผน!HR73"")"),0)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IFERROR(__xludf.DUMMYFUNCTION("IMPORTRANGE(""https://docs.google.com/spreadsheets/d/1QqKyyYR6Q21VydFLVH3TRQUabQu_ym0Zz7PgGX0-kHA/edit?usp=sharing"",""แผน!HR73"")"),0)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IFERROR(__xludf.DUMMYFUNCTION("IMPORTRANGE(""https://docs.google.com/spreadsheets/d/1XWAQStnk-4SwqDmLtmXYiTMKHgktTP8We1SCoS47DrQ/edit?usp=sharing"",""จัดที่ดิน!AS73"")"),0)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IFERROR(__xludf.DUMMYFUNCTION("IMPORTRANGE(""https://docs.google.com/spreadsheets/d/1XWAQStnk-4SwqDmLtmXYiTMKHgktTP8We1SCoS47DrQ/edit?usp=sharing"",""จัดที่ดิน!AT73"")"),0)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IFERROR(__xludf.DUMMYFUNCTION("IMPORTRANGE(""https://docs.google.com/spreadsheets/d/1QqKyyYR6Q21VydFLVH3TRQUabQu_ym0Zz7PgGX0-kHA/edit?usp=sharing"",""แผน!HS73"")"),0)</f>
        <v>0</v>
      </c>
      <c r="J647" s="270">
        <f ca="1">IFERROR(__xludf.DUMMYFUNCTION("IMPORTRANGE(""https://docs.google.com/spreadsheets/d/1XWAQStnk-4SwqDmLtmXYiTMKHgktTP8We1SCoS47DrQ/edit?usp=sharing"",""จัดที่ดิน!AU73"")"),0)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IFERROR(__xludf.DUMMYFUNCTION("IMPORTRANGE(""https://docs.google.com/spreadsheets/d/1XWAQStnk-4SwqDmLtmXYiTMKHgktTP8We1SCoS47DrQ/edit?usp=sharing"",""จัดที่ดิน!AV73"")"),0)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IFERROR(__xludf.DUMMYFUNCTION("IMPORTRANGE(""https://docs.google.com/spreadsheets/d/1QqKyyYR6Q21VydFLVH3TRQUabQu_ym0Zz7PgGX0-kHA/edit?usp=sharing"",""แผน!HS73"")"),0)</f>
        <v>0</v>
      </c>
      <c r="J649" s="270">
        <f ca="1">IFERROR(__xludf.DUMMYFUNCTION("IMPORTRANGE(""https://docs.google.com/spreadsheets/d/1XWAQStnk-4SwqDmLtmXYiTMKHgktTP8We1SCoS47DrQ/edit?usp=sharing"",""จัดที่ดิน!AW73"")"),0)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IFERROR(__xludf.DUMMYFUNCTION("IMPORTRANGE(""https://docs.google.com/spreadsheets/d/1XWAQStnk-4SwqDmLtmXYiTMKHgktTP8We1SCoS47DrQ/edit?usp=sharing"",""จัดที่ดิน!AX73"")"),0)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IFERROR(__xludf.DUMMYFUNCTION("IMPORTRANGE(""https://docs.google.com/spreadsheets/d/1QqKyyYR6Q21VydFLVH3TRQUabQu_ym0Zz7PgGX0-kHA/edit?usp=sharing"",""แผน!HS73"")"),0)</f>
        <v>0</v>
      </c>
      <c r="J651" s="270">
        <f ca="1">IFERROR(__xludf.DUMMYFUNCTION("IMPORTRANGE(""https://docs.google.com/spreadsheets/d/1XWAQStnk-4SwqDmLtmXYiTMKHgktTP8We1SCoS47DrQ/edit?usp=sharing"",""จัดที่ดิน!AY73"")"),0)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IFERROR(__xludf.DUMMYFUNCTION("IMPORTRANGE(""https://docs.google.com/spreadsheets/d/1XWAQStnk-4SwqDmLtmXYiTMKHgktTP8We1SCoS47DrQ/edit?usp=sharing"",""จัดที่ดิน!AZ73"")"),0)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9282</v>
      </c>
      <c r="O655" s="195">
        <f t="shared" ref="O655:O660" ca="1" si="273">IF(L655&gt;0,N655*100/L655,0)</f>
        <v>74.854838709677423</v>
      </c>
      <c r="P655" s="195">
        <f t="shared" ref="P655:P660" ca="1" si="274">IF(M655&gt;0,N655*100/M655,0)</f>
        <v>74.854838709677423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9282</v>
      </c>
      <c r="O657" s="93">
        <f t="shared" ca="1" si="273"/>
        <v>74.854838709677423</v>
      </c>
      <c r="P657" s="93">
        <f t="shared" ca="1" si="274"/>
        <v>74.854838709677423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9282</v>
      </c>
      <c r="O658" s="497">
        <f t="shared" ca="1" si="273"/>
        <v>74.854838709677423</v>
      </c>
      <c r="P658" s="497">
        <f t="shared" ca="1" si="274"/>
        <v>74.854838709677423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IFERROR(__xludf.DUMMYFUNCTION("IMPORTRANGE(""https://docs.google.com/spreadsheets/d/1QqKyyYR6Q21VydFLVH3TRQUabQu_ym0Zz7PgGX0-kHA/edit?usp=sharing"",""แผน!HV73"")"),12400)</f>
        <v>12400</v>
      </c>
      <c r="M660" s="93">
        <f ca="1">L660</f>
        <v>12400</v>
      </c>
      <c r="N660" s="93">
        <f>N661+N662+N663+N664</f>
        <v>9282</v>
      </c>
      <c r="O660" s="93">
        <f t="shared" ca="1" si="273"/>
        <v>74.854838709677423</v>
      </c>
      <c r="P660" s="93">
        <f t="shared" ca="1" si="274"/>
        <v>74.854838709677423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f>2097+7185</f>
        <v>9282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80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IFERROR(__xludf.DUMMYFUNCTION("IMPORTRANGE(""https://docs.google.com/spreadsheets/d/1QqKyyYR6Q21VydFLVH3TRQUabQu_ym0Zz7PgGX0-kHA/edit?usp=sharing"",""แผน!IA73"")"),100)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IFERROR(__xludf.DUMMYFUNCTION("IMPORTRANGE(""https://docs.google.com/spreadsheets/d/1QqKyyYR6Q21VydFLVH3TRQUabQu_ym0Zz7PgGX0-kHA/edit?usp=sharing"",""แผน!HZ73"")"),4)</f>
        <v>4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IFERROR(__xludf.DUMMYFUNCTION("IMPORTRANGE(""https://docs.google.com/spreadsheets/d/1QqKyyYR6Q21VydFLVH3TRQUabQu_ym0Zz7PgGX0-kHA/edit?usp=sharing"",""แผน!HZ73"")"),4)</f>
        <v>4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900">
        <v>80</v>
      </c>
      <c r="K672" s="497">
        <f t="shared" ref="K672:K675" ca="1" si="280">IF(I$669&gt;0,J672*100/I$669,0)</f>
        <v>80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900">
        <v>80</v>
      </c>
      <c r="K673" s="497">
        <f t="shared" ca="1" si="280"/>
        <v>80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68</v>
      </c>
      <c r="K674" s="497">
        <f t="shared" ca="1" si="280"/>
        <v>68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13060</v>
      </c>
      <c r="M685" s="195">
        <f t="shared" ca="1" si="281"/>
        <v>13060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13060</v>
      </c>
      <c r="M687" s="93">
        <f t="shared" ca="1" si="284"/>
        <v>13060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13060</v>
      </c>
      <c r="M688" s="497">
        <f t="shared" ca="1" si="285"/>
        <v>13060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IFERROR(__xludf.DUMMYFUNCTION("IMPORTRANGE(""https://docs.google.com/spreadsheets/d/1QqKyyYR6Q21VydFLVH3TRQUabQu_ym0Zz7PgGX0-kHA/edit?usp=sharing"",""แผน!HW73"")"),13060)</f>
        <v>13060</v>
      </c>
      <c r="M690" s="93">
        <f ca="1">L690</f>
        <v>13060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85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IFERROR(__xludf.DUMMYFUNCTION("IMPORTRANGE(""https://docs.google.com/spreadsheets/d/1QqKyyYR6Q21VydFLVH3TRQUabQu_ym0Zz7PgGX0-kHA/edit?usp=sharing"",""แผน!IC73"")"),80)</f>
        <v>80</v>
      </c>
      <c r="J699" s="270">
        <f ca="1">IFERROR(__xludf.DUMMYFUNCTION("IMPORTRANGE(""https://docs.google.com/spreadsheets/d/1XWAQStnk-4SwqDmLtmXYiTMKHgktTP8We1SCoS47DrQ/edit?usp=sharing"",""จัดที่ดิน!BB73"")"),0)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IFERROR(__xludf.DUMMYFUNCTION("IMPORTRANGE(""https://docs.google.com/spreadsheets/d/1QqKyyYR6Q21VydFLVH3TRQUabQu_ym0Zz7PgGX0-kHA/edit?usp=sharing"",""แผน!ID73"")"),16)</f>
        <v>16</v>
      </c>
      <c r="J700" s="270">
        <f ca="1">IFERROR(__xludf.DUMMYFUNCTION("IMPORTRANGE(""https://docs.google.com/spreadsheets/d/1XWAQStnk-4SwqDmLtmXYiTMKHgktTP8We1SCoS47DrQ/edit?usp=sharing"",""จัดที่ดิน!BD73"")"),0)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IFERROR(__xludf.DUMMYFUNCTION("IMPORTRANGE(""https://docs.google.com/spreadsheets/d/1QqKyyYR6Q21VydFLVH3TRQUabQu_ym0Zz7PgGX0-kHA/edit?usp=sharing"",""แผน!IE73"")"),15)</f>
        <v>15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IFERROR(__xludf.DUMMYFUNCTION("IMPORTRANGE(""https://docs.google.com/spreadsheets/d/1QqKyyYR6Q21VydFLVH3TRQUabQu_ym0Zz7PgGX0-kHA/edit?usp=sharing"",""แผน!IF73"")"),15)</f>
        <v>15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IFERROR(__xludf.DUMMYFUNCTION("IMPORTRANGE(""https://docs.google.com/spreadsheets/d/1QqKyyYR6Q21VydFLVH3TRQUabQu_ym0Zz7PgGX0-kHA/edit?usp=sharing"",""แผน!IH73"")"),80)</f>
        <v>80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IFERROR(__xludf.DUMMYFUNCTION("IMPORTRANGE(""https://docs.google.com/spreadsheets/d/1QqKyyYR6Q21VydFLVH3TRQUabQu_ym0Zz7PgGX0-kHA/edit?usp=sharing"",""แผน!II73"")"),0)</f>
        <v>0</v>
      </c>
      <c r="J720" s="270">
        <f ca="1">IFERROR(__xludf.DUMMYFUNCTION("IMPORTRANGE(""https://docs.google.com/spreadsheets/d/1XWAQStnk-4SwqDmLtmXYiTMKHgktTP8We1SCoS47DrQ/edit?usp=sharing"",""จัดที่ดิน!BH73"")"),0)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IFERROR(__xludf.DUMMYFUNCTION("IMPORTRANGE(""https://docs.google.com/spreadsheets/d/1QqKyyYR6Q21VydFLVH3TRQUabQu_ym0Zz7PgGX0-kHA/edit?usp=sharing"",""แผน!IJ73"")"),2)</f>
        <v>2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IFERROR(__xludf.DUMMYFUNCTION("IMPORTRANGE(""https://docs.google.com/spreadsheets/d/1QqKyyYR6Q21VydFLVH3TRQUabQu_ym0Zz7PgGX0-kHA/edit?usp=sharing"",""แผน!IK73"")"),10)</f>
        <v>10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IFERROR(__xludf.DUMMYFUNCTION("IMPORTRANGE(""https://docs.google.com/spreadsheets/d/1QqKyyYR6Q21VydFLVH3TRQUabQu_ym0Zz7PgGX0-kHA/edit?usp=sharing"",""แผน!IL73"")"),2)</f>
        <v>2</v>
      </c>
      <c r="J723" s="270">
        <f ca="1">IFERROR(__xludf.DUMMYFUNCTION("IMPORTRANGE(""https://docs.google.com/spreadsheets/d/1XWAQStnk-4SwqDmLtmXYiTMKHgktTP8We1SCoS47DrQ/edit?usp=sharing"",""จัดที่ดิน!BM73"")"),0)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IFERROR(__xludf.DUMMYFUNCTION("IMPORTRANGE(""https://docs.google.com/spreadsheets/d/1QqKyyYR6Q21VydFLVH3TRQUabQu_ym0Zz7PgGX0-kHA/edit?usp=sharing"",""แผน!IM73"")"),10)</f>
        <v>10</v>
      </c>
      <c r="J725" s="270">
        <f ca="1">IFERROR(__xludf.DUMMYFUNCTION("IMPORTRANGE(""https://docs.google.com/spreadsheets/d/1XWAQStnk-4SwqDmLtmXYiTMKHgktTP8We1SCoS47DrQ/edit?usp=sharing"",""จัดที่ดิน!BO73"")"),0)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IFERROR(__xludf.DUMMYFUNCTION("IMPORTRANGE(""https://docs.google.com/spreadsheets/d/1QqKyyYR6Q21VydFLVH3TRQUabQu_ym0Zz7PgGX0-kHA/edit?usp=sharing"",""แผน!IN73"")"),0)</f>
        <v>0</v>
      </c>
      <c r="J726" s="270">
        <f ca="1">IFERROR(__xludf.DUMMYFUNCTION("IMPORTRANGE(""https://docs.google.com/spreadsheets/d/1XWAQStnk-4SwqDmLtmXYiTMKHgktTP8We1SCoS47DrQ/edit?usp=sharing"",""จัดที่ดิน!BR73"")"),0)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IFERROR(__xludf.DUMMYFUNCTION("IMPORTRANGE(""https://docs.google.com/spreadsheets/d/1QqKyyYR6Q21VydFLVH3TRQUabQu_ym0Zz7PgGX0-kHA/edit?usp=sharing"",""แผน!IO73"")"),0)</f>
        <v>0</v>
      </c>
      <c r="J728" s="270">
        <f ca="1">IFERROR(__xludf.DUMMYFUNCTION("IMPORTRANGE(""https://docs.google.com/spreadsheets/d/1XWAQStnk-4SwqDmLtmXYiTMKHgktTP8We1SCoS47DrQ/edit?usp=sharing"",""จัดที่ดิน!BT73"")"),0)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IFERROR(__xludf.DUMMYFUNCTION("IMPORTRANGE(""https://docs.google.com/spreadsheets/d/1QqKyyYR6Q21VydFLVH3TRQUabQu_ym0Zz7PgGX0-kHA/edit?usp=sharing"",""แผน!IP73"")"),0)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86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86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86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87" t="s">
        <v>46</v>
      </c>
      <c r="I785" s="888">
        <f t="shared" ref="I785:J785" ca="1" si="317">I800</f>
        <v>0</v>
      </c>
      <c r="J785" s="889">
        <f t="shared" ca="1" si="317"/>
        <v>0</v>
      </c>
      <c r="K785" s="890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IFERROR(__xludf.DUMMYFUNCTION("IMPORTRANGE(""https://docs.google.com/spreadsheets/d/1QqKyyYR6Q21VydFLVH3TRQUabQu_ym0Zz7PgGX0-kHA/edit?usp=sharing"",""แผน!JJ73"")"),0)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85" t="s">
        <v>38</v>
      </c>
      <c r="E799" s="756"/>
      <c r="F799" s="756"/>
      <c r="G799" s="608"/>
      <c r="H799" s="891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IFERROR(__xludf.DUMMYFUNCTION("IMPORTRANGE(""https://docs.google.com/spreadsheets/d/1QqKyyYR6Q21VydFLVH3TRQUabQu_ym0Zz7PgGX0-kHA/edit?usp=sharing"",""แผน!JN73"")"),0)</f>
        <v>0</v>
      </c>
      <c r="J800" s="184">
        <f ca="1">IFERROR(__xludf.DUMMYFUNCTION("IMPORTRANGE(""https://docs.google.com/spreadsheets/d/1MaWodYyGHDf7siQLGxnXhG4mBNTNIuy296niS2xXulU/edit?usp=sharing"",""RTK!H73"")"),0)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92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92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93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332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IFERROR(__xludf.DUMMYFUNCTION("IMPORTRANGE(""https://docs.google.com/spreadsheets/d/19vJNZY_5yjcGF2XGBMNZRCAIB0Kwfpjp8YEOfu-bneM/edit?usp=sharing"",""งานกองทุน!D73"")"),0)</f>
        <v>0</v>
      </c>
      <c r="J821" s="270">
        <f ca="1">IFERROR(__xludf.DUMMYFUNCTION("IMPORTRANGE(""https://docs.google.com/spreadsheets/d/19vJNZY_5yjcGF2XGBMNZRCAIB0Kwfpjp8YEOfu-bneM/edit?usp=sharing"",""งานกองทุน!F73"")"),0)</f>
        <v>0</v>
      </c>
      <c r="K821" s="497">
        <f t="shared" ref="K821:K828" ca="1" si="334">IF(I821&gt;0,J821*100/I821,0)</f>
        <v>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IFERROR(__xludf.DUMMYFUNCTION("IMPORTRANGE(""https://docs.google.com/spreadsheets/d/19vJNZY_5yjcGF2XGBMNZRCAIB0Kwfpjp8YEOfu-bneM/edit?usp=sharing"",""งานกองทุน!C73"")"),0)</f>
        <v>0</v>
      </c>
      <c r="J822" s="270">
        <f ca="1">IFERROR(__xludf.DUMMYFUNCTION("IMPORTRANGE(""https://docs.google.com/spreadsheets/d/19vJNZY_5yjcGF2XGBMNZRCAIB0Kwfpjp8YEOfu-bneM/edit?usp=sharing"",""งานกองทุน!E73"")"),0)</f>
        <v>0</v>
      </c>
      <c r="K822" s="497">
        <f t="shared" ca="1" si="334"/>
        <v>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IFERROR(__xludf.DUMMYFUNCTION("IMPORTRANGE(""https://docs.google.com/spreadsheets/d/19vJNZY_5yjcGF2XGBMNZRCAIB0Kwfpjp8YEOfu-bneM/edit?usp=sharing"",""งานกองทุน!I73"")"),29317.68)</f>
        <v>29317.68</v>
      </c>
      <c r="J823" s="270">
        <f ca="1">IFERROR(__xludf.DUMMYFUNCTION("IMPORTRANGE(""https://docs.google.com/spreadsheets/d/19vJNZY_5yjcGF2XGBMNZRCAIB0Kwfpjp8YEOfu-bneM/edit?usp=sharing"",""งานกองทุน!K73"")"),29317.68)</f>
        <v>29317.68</v>
      </c>
      <c r="K823" s="497">
        <f t="shared" ca="1" si="334"/>
        <v>100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IFERROR(__xludf.DUMMYFUNCTION("IMPORTRANGE(""https://docs.google.com/spreadsheets/d/19vJNZY_5yjcGF2XGBMNZRCAIB0Kwfpjp8YEOfu-bneM/edit?usp=sharing"",""งานกองทุน!H73"")"),3)</f>
        <v>3</v>
      </c>
      <c r="J824" s="270">
        <f ca="1">IFERROR(__xludf.DUMMYFUNCTION("IMPORTRANGE(""https://docs.google.com/spreadsheets/d/19vJNZY_5yjcGF2XGBMNZRCAIB0Kwfpjp8YEOfu-bneM/edit?usp=sharing"",""งานกองทุน!J73"")"),3)</f>
        <v>3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IFERROR(__xludf.DUMMYFUNCTION("IMPORTRANGE(""https://docs.google.com/spreadsheets/d/19vJNZY_5yjcGF2XGBMNZRCAIB0Kwfpjp8YEOfu-bneM/edit?usp=sharing"",""งานกองทุน!N73"")"),37951.31)</f>
        <v>37951.31</v>
      </c>
      <c r="J825" s="270">
        <f ca="1">IFERROR(__xludf.DUMMYFUNCTION("IMPORTRANGE(""https://docs.google.com/spreadsheets/d/19vJNZY_5yjcGF2XGBMNZRCAIB0Kwfpjp8YEOfu-bneM/edit?usp=sharing"",""งานกองทุน!P73"")"),37951.31)</f>
        <v>37951.31</v>
      </c>
      <c r="K825" s="497">
        <f t="shared" ca="1" si="334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IFERROR(__xludf.DUMMYFUNCTION("IMPORTRANGE(""https://docs.google.com/spreadsheets/d/19vJNZY_5yjcGF2XGBMNZRCAIB0Kwfpjp8YEOfu-bneM/edit?usp=sharing"",""งานกองทุน!M73"")"),51)</f>
        <v>51</v>
      </c>
      <c r="J826" s="270">
        <f ca="1">IFERROR(__xludf.DUMMYFUNCTION("IMPORTRANGE(""https://docs.google.com/spreadsheets/d/19vJNZY_5yjcGF2XGBMNZRCAIB0Kwfpjp8YEOfu-bneM/edit?usp=sharing"",""งานกองทุน!O73"")"),51)</f>
        <v>51</v>
      </c>
      <c r="K826" s="497">
        <f t="shared" ca="1" si="334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IFERROR(__xludf.DUMMYFUNCTION("IMPORTRANGE(""https://docs.google.com/spreadsheets/d/19vJNZY_5yjcGF2XGBMNZRCAIB0Kwfpjp8YEOfu-bneM/edit?usp=sharing"",""งานกองทุน!S73"")"),680000)</f>
        <v>680000</v>
      </c>
      <c r="J827" s="270">
        <f ca="1">IFERROR(__xludf.DUMMYFUNCTION("IMPORTRANGE(""https://docs.google.com/spreadsheets/d/19vJNZY_5yjcGF2XGBMNZRCAIB0Kwfpjp8YEOfu-bneM/edit?usp=sharing"",""งานกองทุน!U73"")"),180000)</f>
        <v>180000</v>
      </c>
      <c r="K827" s="497">
        <f t="shared" ca="1" si="334"/>
        <v>26.470588235294116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IFERROR(__xludf.DUMMYFUNCTION("IMPORTRANGE(""https://docs.google.com/spreadsheets/d/19vJNZY_5yjcGF2XGBMNZRCAIB0Kwfpjp8YEOfu-bneM/edit?usp=sharing"",""งานกองทุน!R73"")"),27)</f>
        <v>27</v>
      </c>
      <c r="J828" s="501">
        <f ca="1">IFERROR(__xludf.DUMMYFUNCTION("IMPORTRANGE(""https://docs.google.com/spreadsheets/d/19vJNZY_5yjcGF2XGBMNZRCAIB0Kwfpjp8YEOfu-bneM/edit?usp=sharing"",""งานกองทุน!T73"")"),6)</f>
        <v>6</v>
      </c>
      <c r="K828" s="502">
        <f t="shared" ca="1" si="334"/>
        <v>22.222222222222221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2023-07-10T04:31:13Z</dcterms:modified>
</cp:coreProperties>
</file>